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zaiane.silva\AppData\Local\Microsoft\Windows\Temporary Internet Files\Content.Outlook\Z5GVQHWX\"/>
    </mc:Choice>
  </mc:AlternateContent>
  <bookViews>
    <workbookView xWindow="120" yWindow="90" windowWidth="17115" windowHeight="8445" tabRatio="807" activeTab="2"/>
  </bookViews>
  <sheets>
    <sheet name="Preços 2018 - Região N, NE e CO" sheetId="10" r:id="rId1"/>
    <sheet name="Preços 2018 - Região S e SE" sheetId="9" r:id="rId2"/>
    <sheet name="Preços 2018 - Região ABC e GRU" sheetId="7" r:id="rId3"/>
    <sheet name="PLA" sheetId="15" r:id="rId4"/>
    <sheet name="Premissas Aprovadas" sheetId="14" state="hidden" r:id="rId5"/>
    <sheet name="Cálc. Reaj. 2018 - Mensal. 2017" sheetId="6" state="hidden" r:id="rId6"/>
    <sheet name="Plan3" sheetId="13" state="hidden" r:id="rId7"/>
    <sheet name="Regiões x Polos" sheetId="8" state="hidden" r:id="rId8"/>
    <sheet name="Plan1" sheetId="1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5" hidden="1">'Cálc. Reaj. 2018 - Mensal. 2017'!$B$7:$H$38</definedName>
    <definedName name="_xlnm._FilterDatabase" localSheetId="2" hidden="1">'Preços 2018 - Região ABC e GRU'!$B$7:$G$22</definedName>
    <definedName name="_xlnm._FilterDatabase" localSheetId="0" hidden="1">'Preços 2018 - Região N, NE e CO'!$B$6:$G$36</definedName>
    <definedName name="_xlnm._FilterDatabase" localSheetId="1" hidden="1">'Preços 2018 - Região S e SE'!$B$7:$G$22</definedName>
    <definedName name="_xlnm._FilterDatabase" localSheetId="7" hidden="1">'Regiões x Polos'!$B$2:$F$120</definedName>
    <definedName name="_xlnm.Print_Area" localSheetId="5">'Cálc. Reaj. 2018 - Mensal. 2017'!$B$2:$H$39</definedName>
    <definedName name="_xlnm.Print_Area" localSheetId="2">'Preços 2018 - Região ABC e GRU'!$B$1:$H$73</definedName>
    <definedName name="_xlnm.Print_Area" localSheetId="0">'Preços 2018 - Região N, NE e CO'!$B$1:$H$73</definedName>
    <definedName name="_xlnm.Print_Area" localSheetId="1">'Preços 2018 - Região S e SE'!$B$1:$H$73</definedName>
  </definedNames>
  <calcPr calcId="152511"/>
  <pivotCaches>
    <pivotCache cacheId="0" r:id="rId43"/>
  </pivotCaches>
</workbook>
</file>

<file path=xl/calcChain.xml><?xml version="1.0" encoding="utf-8"?>
<calcChain xmlns="http://schemas.openxmlformats.org/spreadsheetml/2006/main">
  <c r="G65" i="10" l="1"/>
  <c r="F65" i="10"/>
  <c r="D65" i="10"/>
  <c r="E65" i="10" s="1"/>
  <c r="G64" i="10"/>
  <c r="F64" i="10"/>
  <c r="D64" i="10"/>
  <c r="E64" i="10" s="1"/>
  <c r="G63" i="10"/>
  <c r="F63" i="10"/>
  <c r="D63" i="10"/>
  <c r="E63" i="10" s="1"/>
  <c r="G62" i="10"/>
  <c r="F62" i="10"/>
  <c r="D62" i="10"/>
  <c r="E62" i="10" s="1"/>
  <c r="G61" i="10"/>
  <c r="F61" i="10"/>
  <c r="D61" i="10"/>
  <c r="E61" i="10" s="1"/>
  <c r="G60" i="10"/>
  <c r="F60" i="10"/>
  <c r="D60" i="10"/>
  <c r="E60" i="10" s="1"/>
  <c r="G59" i="10"/>
  <c r="F59" i="10"/>
  <c r="D59" i="10"/>
  <c r="E59" i="10" s="1"/>
  <c r="G58" i="10"/>
  <c r="F58" i="10"/>
  <c r="D58" i="10"/>
  <c r="E58" i="10" s="1"/>
  <c r="G57" i="10"/>
  <c r="F57" i="10"/>
  <c r="D57" i="10"/>
  <c r="E57" i="10" s="1"/>
  <c r="G65" i="9"/>
  <c r="F65" i="9"/>
  <c r="D65" i="9"/>
  <c r="E65" i="9" s="1"/>
  <c r="G64" i="9"/>
  <c r="F64" i="9"/>
  <c r="D64" i="9"/>
  <c r="E64" i="9" s="1"/>
  <c r="G63" i="9"/>
  <c r="F63" i="9"/>
  <c r="D63" i="9"/>
  <c r="E63" i="9" s="1"/>
  <c r="G62" i="9"/>
  <c r="F62" i="9"/>
  <c r="D62" i="9"/>
  <c r="E62" i="9" s="1"/>
  <c r="G61" i="9"/>
  <c r="F61" i="9"/>
  <c r="D61" i="9"/>
  <c r="E61" i="9" s="1"/>
  <c r="G60" i="9"/>
  <c r="F60" i="9"/>
  <c r="D60" i="9"/>
  <c r="E60" i="9" s="1"/>
  <c r="G59" i="9"/>
  <c r="F59" i="9"/>
  <c r="D59" i="9"/>
  <c r="E59" i="9" s="1"/>
  <c r="G58" i="9"/>
  <c r="F58" i="9"/>
  <c r="D58" i="9"/>
  <c r="E58" i="9" s="1"/>
  <c r="G57" i="9"/>
  <c r="F57" i="9"/>
  <c r="D57" i="9"/>
  <c r="E57" i="9" s="1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D65" i="7" l="1"/>
  <c r="E65" i="7" s="1"/>
  <c r="D64" i="7"/>
  <c r="E64" i="7" s="1"/>
  <c r="D63" i="7"/>
  <c r="E63" i="7" s="1"/>
  <c r="D62" i="7"/>
  <c r="E62" i="7" s="1"/>
  <c r="D61" i="7"/>
  <c r="E61" i="7" s="1"/>
  <c r="D60" i="7"/>
  <c r="E60" i="7" s="1"/>
  <c r="D59" i="7"/>
  <c r="E59" i="7" s="1"/>
  <c r="D58" i="7"/>
  <c r="E58" i="7" s="1"/>
  <c r="D57" i="7"/>
  <c r="E57" i="7" s="1"/>
  <c r="G56" i="9" l="1"/>
  <c r="F56" i="9"/>
  <c r="D56" i="9" s="1"/>
  <c r="E56" i="9" s="1"/>
  <c r="G55" i="9"/>
  <c r="F55" i="9"/>
  <c r="D55" i="9" s="1"/>
  <c r="E55" i="9" s="1"/>
  <c r="G54" i="9"/>
  <c r="F54" i="9"/>
  <c r="D54" i="9" s="1"/>
  <c r="E54" i="9" s="1"/>
  <c r="G53" i="9"/>
  <c r="F53" i="9"/>
  <c r="D53" i="9" s="1"/>
  <c r="E53" i="9" s="1"/>
  <c r="G52" i="9"/>
  <c r="F52" i="9"/>
  <c r="D52" i="9" s="1"/>
  <c r="E52" i="9" s="1"/>
  <c r="G51" i="9"/>
  <c r="F51" i="9"/>
  <c r="D51" i="9" s="1"/>
  <c r="E51" i="9" s="1"/>
  <c r="G50" i="9"/>
  <c r="F50" i="9"/>
  <c r="D50" i="9" s="1"/>
  <c r="E50" i="9" s="1"/>
  <c r="G56" i="10"/>
  <c r="F56" i="10"/>
  <c r="D56" i="10" s="1"/>
  <c r="E56" i="10" s="1"/>
  <c r="G55" i="10"/>
  <c r="F55" i="10"/>
  <c r="D55" i="10" s="1"/>
  <c r="E55" i="10" s="1"/>
  <c r="G54" i="10"/>
  <c r="F54" i="10"/>
  <c r="D54" i="10" s="1"/>
  <c r="E54" i="10" s="1"/>
  <c r="G53" i="10"/>
  <c r="F53" i="10"/>
  <c r="D53" i="10" s="1"/>
  <c r="E53" i="10" s="1"/>
  <c r="G52" i="10"/>
  <c r="F52" i="10"/>
  <c r="D52" i="10"/>
  <c r="E52" i="10" s="1"/>
  <c r="G51" i="10"/>
  <c r="F51" i="10"/>
  <c r="D51" i="10" s="1"/>
  <c r="E51" i="10" s="1"/>
  <c r="G50" i="10"/>
  <c r="F50" i="10"/>
  <c r="D50" i="10" s="1"/>
  <c r="E50" i="10" s="1"/>
  <c r="G56" i="7"/>
  <c r="G55" i="7"/>
  <c r="G54" i="7"/>
  <c r="G53" i="7"/>
  <c r="G52" i="7"/>
  <c r="G51" i="7"/>
  <c r="G50" i="7"/>
  <c r="F56" i="7" l="1"/>
  <c r="D56" i="7" s="1"/>
  <c r="E56" i="7" s="1"/>
  <c r="F55" i="7"/>
  <c r="D55" i="7" s="1"/>
  <c r="E55" i="7" s="1"/>
  <c r="F54" i="7"/>
  <c r="D54" i="7" s="1"/>
  <c r="E54" i="7" s="1"/>
  <c r="F53" i="7"/>
  <c r="D53" i="7" s="1"/>
  <c r="E53" i="7" s="1"/>
  <c r="F52" i="7"/>
  <c r="D52" i="7" s="1"/>
  <c r="E52" i="7" s="1"/>
  <c r="F51" i="7"/>
  <c r="D51" i="7" s="1"/>
  <c r="E51" i="7" s="1"/>
  <c r="F50" i="7"/>
  <c r="D50" i="7" s="1"/>
  <c r="E50" i="7" s="1"/>
  <c r="E5" i="15" l="1"/>
  <c r="D5" i="15"/>
  <c r="G49" i="10" l="1"/>
  <c r="F49" i="10"/>
  <c r="D49" i="10" s="1"/>
  <c r="E49" i="10" s="1"/>
  <c r="G49" i="9"/>
  <c r="F49" i="9"/>
  <c r="D49" i="9" s="1"/>
  <c r="E49" i="9" s="1"/>
  <c r="G49" i="7" l="1"/>
  <c r="F49" i="7"/>
  <c r="D49" i="7" s="1"/>
  <c r="E49" i="7" s="1"/>
  <c r="G36" i="9" l="1"/>
  <c r="G48" i="9"/>
  <c r="G47" i="9"/>
  <c r="G46" i="9"/>
  <c r="G45" i="9"/>
  <c r="G44" i="9"/>
  <c r="G43" i="9"/>
  <c r="G42" i="9"/>
  <c r="G41" i="9"/>
  <c r="G40" i="9"/>
  <c r="G39" i="9"/>
  <c r="G38" i="9"/>
  <c r="G37" i="9"/>
  <c r="G36" i="7"/>
  <c r="G48" i="7"/>
  <c r="G47" i="7"/>
  <c r="G46" i="7"/>
  <c r="G45" i="7"/>
  <c r="G44" i="7"/>
  <c r="G43" i="7"/>
  <c r="G42" i="7"/>
  <c r="G41" i="7"/>
  <c r="G40" i="7"/>
  <c r="G39" i="7"/>
  <c r="G38" i="7"/>
  <c r="G37" i="7"/>
  <c r="G36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F36" i="9"/>
  <c r="D36" i="9" s="1"/>
  <c r="E36" i="9" s="1"/>
  <c r="F48" i="9"/>
  <c r="D48" i="9" s="1"/>
  <c r="E48" i="9" s="1"/>
  <c r="F47" i="9"/>
  <c r="D47" i="9" s="1"/>
  <c r="E47" i="9" s="1"/>
  <c r="F46" i="9"/>
  <c r="D46" i="9" s="1"/>
  <c r="E46" i="9" s="1"/>
  <c r="F45" i="9"/>
  <c r="D45" i="9" s="1"/>
  <c r="E45" i="9" s="1"/>
  <c r="F44" i="9"/>
  <c r="D44" i="9" s="1"/>
  <c r="E44" i="9" s="1"/>
  <c r="F43" i="9"/>
  <c r="D43" i="9" s="1"/>
  <c r="E43" i="9" s="1"/>
  <c r="F42" i="9"/>
  <c r="D42" i="9" s="1"/>
  <c r="E42" i="9" s="1"/>
  <c r="F41" i="9"/>
  <c r="D41" i="9" s="1"/>
  <c r="E41" i="9" s="1"/>
  <c r="F40" i="9"/>
  <c r="D40" i="9" s="1"/>
  <c r="E40" i="9" s="1"/>
  <c r="F39" i="9"/>
  <c r="D39" i="9" s="1"/>
  <c r="E39" i="9" s="1"/>
  <c r="F38" i="9"/>
  <c r="D38" i="9" s="1"/>
  <c r="E38" i="9" s="1"/>
  <c r="F37" i="9"/>
  <c r="D37" i="9" s="1"/>
  <c r="E37" i="9" s="1"/>
  <c r="F36" i="7"/>
  <c r="D36" i="7" s="1"/>
  <c r="E36" i="7" s="1"/>
  <c r="F48" i="7"/>
  <c r="D48" i="7" s="1"/>
  <c r="E48" i="7" s="1"/>
  <c r="F47" i="7"/>
  <c r="D47" i="7" s="1"/>
  <c r="E47" i="7" s="1"/>
  <c r="F46" i="7"/>
  <c r="D46" i="7" s="1"/>
  <c r="E46" i="7" s="1"/>
  <c r="F45" i="7"/>
  <c r="D45" i="7" s="1"/>
  <c r="E45" i="7" s="1"/>
  <c r="F44" i="7"/>
  <c r="D44" i="7" s="1"/>
  <c r="E44" i="7" s="1"/>
  <c r="F43" i="7"/>
  <c r="D43" i="7" s="1"/>
  <c r="E43" i="7" s="1"/>
  <c r="F42" i="7"/>
  <c r="D42" i="7" s="1"/>
  <c r="E42" i="7" s="1"/>
  <c r="F41" i="7"/>
  <c r="D41" i="7" s="1"/>
  <c r="E41" i="7" s="1"/>
  <c r="F40" i="7"/>
  <c r="D40" i="7" s="1"/>
  <c r="E40" i="7" s="1"/>
  <c r="F39" i="7"/>
  <c r="D39" i="7" s="1"/>
  <c r="E39" i="7" s="1"/>
  <c r="F38" i="7"/>
  <c r="D38" i="7" s="1"/>
  <c r="E38" i="7" s="1"/>
  <c r="F37" i="7"/>
  <c r="D37" i="7" s="1"/>
  <c r="E37" i="7" s="1"/>
  <c r="F36" i="10"/>
  <c r="D36" i="10" s="1"/>
  <c r="E36" i="10" s="1"/>
  <c r="F48" i="10"/>
  <c r="D48" i="10" s="1"/>
  <c r="E48" i="10" s="1"/>
  <c r="F47" i="10"/>
  <c r="D47" i="10" s="1"/>
  <c r="E47" i="10" s="1"/>
  <c r="F46" i="10"/>
  <c r="D46" i="10" s="1"/>
  <c r="E46" i="10" s="1"/>
  <c r="F45" i="10"/>
  <c r="D45" i="10" s="1"/>
  <c r="E45" i="10" s="1"/>
  <c r="F44" i="10"/>
  <c r="D44" i="10" s="1"/>
  <c r="E44" i="10" s="1"/>
  <c r="F43" i="10"/>
  <c r="D43" i="10" s="1"/>
  <c r="E43" i="10" s="1"/>
  <c r="F42" i="10"/>
  <c r="D42" i="10" s="1"/>
  <c r="E42" i="10" s="1"/>
  <c r="F41" i="10"/>
  <c r="D41" i="10" s="1"/>
  <c r="E41" i="10" s="1"/>
  <c r="F40" i="10"/>
  <c r="D40" i="10" s="1"/>
  <c r="E40" i="10" s="1"/>
  <c r="F39" i="10"/>
  <c r="D39" i="10" s="1"/>
  <c r="E39" i="10" s="1"/>
  <c r="F38" i="10"/>
  <c r="D38" i="10" s="1"/>
  <c r="E38" i="10" s="1"/>
  <c r="F37" i="10"/>
  <c r="D37" i="10" s="1"/>
  <c r="E37" i="10" s="1"/>
  <c r="F9" i="10" l="1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8" i="10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8" i="9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8" i="7"/>
  <c r="W70" i="6" l="1"/>
  <c r="L62" i="6"/>
  <c r="T100" i="6"/>
  <c r="G100" i="6"/>
  <c r="L100" i="6" s="1"/>
  <c r="F100" i="6"/>
  <c r="D100" i="6" s="1"/>
  <c r="E100" i="6" s="1"/>
  <c r="T99" i="6"/>
  <c r="G99" i="6"/>
  <c r="L99" i="6" s="1"/>
  <c r="F99" i="6"/>
  <c r="T98" i="6"/>
  <c r="G98" i="6"/>
  <c r="L98" i="6" s="1"/>
  <c r="F98" i="6"/>
  <c r="D98" i="6" s="1"/>
  <c r="E98" i="6" s="1"/>
  <c r="T97" i="6"/>
  <c r="G97" i="6"/>
  <c r="L97" i="6" s="1"/>
  <c r="F97" i="6"/>
  <c r="D97" i="6" s="1"/>
  <c r="E97" i="6" s="1"/>
  <c r="T96" i="6"/>
  <c r="G96" i="6"/>
  <c r="L96" i="6" s="1"/>
  <c r="F96" i="6"/>
  <c r="D96" i="6" s="1"/>
  <c r="E96" i="6" s="1"/>
  <c r="T95" i="6"/>
  <c r="G95" i="6"/>
  <c r="L95" i="6" s="1"/>
  <c r="F95" i="6"/>
  <c r="D95" i="6" s="1"/>
  <c r="T94" i="6"/>
  <c r="G94" i="6"/>
  <c r="L94" i="6" s="1"/>
  <c r="F94" i="6"/>
  <c r="D94" i="6" s="1"/>
  <c r="E94" i="6" s="1"/>
  <c r="T93" i="6"/>
  <c r="G93" i="6"/>
  <c r="L93" i="6" s="1"/>
  <c r="F93" i="6"/>
  <c r="D93" i="6" s="1"/>
  <c r="T92" i="6"/>
  <c r="G92" i="6"/>
  <c r="L92" i="6" s="1"/>
  <c r="F92" i="6"/>
  <c r="D92" i="6" s="1"/>
  <c r="E92" i="6" s="1"/>
  <c r="T91" i="6"/>
  <c r="G91" i="6"/>
  <c r="L91" i="6" s="1"/>
  <c r="F91" i="6"/>
  <c r="T90" i="6"/>
  <c r="G90" i="6"/>
  <c r="L90" i="6" s="1"/>
  <c r="F90" i="6"/>
  <c r="D90" i="6" s="1"/>
  <c r="E90" i="6" s="1"/>
  <c r="T89" i="6"/>
  <c r="G89" i="6"/>
  <c r="L89" i="6" s="1"/>
  <c r="F89" i="6"/>
  <c r="D89" i="6" s="1"/>
  <c r="T88" i="6"/>
  <c r="G88" i="6"/>
  <c r="L88" i="6" s="1"/>
  <c r="F88" i="6"/>
  <c r="D88" i="6" s="1"/>
  <c r="E88" i="6" s="1"/>
  <c r="T87" i="6"/>
  <c r="G87" i="6"/>
  <c r="L87" i="6" s="1"/>
  <c r="F87" i="6"/>
  <c r="T86" i="6"/>
  <c r="G86" i="6"/>
  <c r="L86" i="6" s="1"/>
  <c r="F86" i="6"/>
  <c r="D86" i="6" s="1"/>
  <c r="E86" i="6" s="1"/>
  <c r="T85" i="6"/>
  <c r="G85" i="6"/>
  <c r="L85" i="6" s="1"/>
  <c r="F85" i="6"/>
  <c r="D85" i="6" s="1"/>
  <c r="T84" i="6"/>
  <c r="G84" i="6"/>
  <c r="L84" i="6" s="1"/>
  <c r="F84" i="6"/>
  <c r="D84" i="6" s="1"/>
  <c r="E84" i="6" s="1"/>
  <c r="T83" i="6"/>
  <c r="G83" i="6"/>
  <c r="L83" i="6" s="1"/>
  <c r="F83" i="6"/>
  <c r="T82" i="6"/>
  <c r="G82" i="6"/>
  <c r="L82" i="6" s="1"/>
  <c r="F82" i="6"/>
  <c r="D82" i="6" s="1"/>
  <c r="E82" i="6" s="1"/>
  <c r="T81" i="6"/>
  <c r="G81" i="6"/>
  <c r="L81" i="6" s="1"/>
  <c r="F81" i="6"/>
  <c r="D81" i="6" s="1"/>
  <c r="E81" i="6" s="1"/>
  <c r="T80" i="6"/>
  <c r="G80" i="6"/>
  <c r="L80" i="6" s="1"/>
  <c r="F80" i="6"/>
  <c r="D80" i="6" s="1"/>
  <c r="E80" i="6" s="1"/>
  <c r="T79" i="6"/>
  <c r="G79" i="6"/>
  <c r="L79" i="6" s="1"/>
  <c r="F79" i="6"/>
  <c r="D79" i="6" s="1"/>
  <c r="T78" i="6"/>
  <c r="G78" i="6"/>
  <c r="L78" i="6" s="1"/>
  <c r="F78" i="6"/>
  <c r="D78" i="6" s="1"/>
  <c r="E78" i="6" s="1"/>
  <c r="T77" i="6"/>
  <c r="G77" i="6"/>
  <c r="L77" i="6" s="1"/>
  <c r="F77" i="6"/>
  <c r="D77" i="6" s="1"/>
  <c r="T76" i="6"/>
  <c r="G76" i="6"/>
  <c r="L76" i="6" s="1"/>
  <c r="F76" i="6"/>
  <c r="D76" i="6" s="1"/>
  <c r="E76" i="6" s="1"/>
  <c r="T75" i="6"/>
  <c r="G75" i="6"/>
  <c r="L75" i="6" s="1"/>
  <c r="F75" i="6"/>
  <c r="T74" i="6"/>
  <c r="G74" i="6"/>
  <c r="L74" i="6" s="1"/>
  <c r="F74" i="6"/>
  <c r="D74" i="6" s="1"/>
  <c r="E74" i="6" s="1"/>
  <c r="T73" i="6"/>
  <c r="G73" i="6"/>
  <c r="L73" i="6" s="1"/>
  <c r="F73" i="6"/>
  <c r="D73" i="6" s="1"/>
  <c r="E73" i="6" s="1"/>
  <c r="T72" i="6"/>
  <c r="G72" i="6"/>
  <c r="F72" i="6"/>
  <c r="D72" i="6" s="1"/>
  <c r="E72" i="6" s="1"/>
  <c r="T69" i="6"/>
  <c r="G69" i="6"/>
  <c r="L69" i="6" s="1"/>
  <c r="F69" i="6"/>
  <c r="T68" i="6"/>
  <c r="G68" i="6"/>
  <c r="L68" i="6" s="1"/>
  <c r="F68" i="6"/>
  <c r="T67" i="6"/>
  <c r="G67" i="6"/>
  <c r="L67" i="6" s="1"/>
  <c r="F67" i="6"/>
  <c r="T66" i="6"/>
  <c r="G66" i="6"/>
  <c r="L66" i="6" s="1"/>
  <c r="F66" i="6"/>
  <c r="T65" i="6"/>
  <c r="G65" i="6"/>
  <c r="L65" i="6" s="1"/>
  <c r="F65" i="6"/>
  <c r="T64" i="6"/>
  <c r="G64" i="6"/>
  <c r="L64" i="6" s="1"/>
  <c r="F64" i="6"/>
  <c r="T63" i="6"/>
  <c r="G63" i="6"/>
  <c r="L63" i="6" s="1"/>
  <c r="F63" i="6"/>
  <c r="T62" i="6"/>
  <c r="G62" i="6"/>
  <c r="F62" i="6"/>
  <c r="T61" i="6"/>
  <c r="G61" i="6"/>
  <c r="L61" i="6" s="1"/>
  <c r="F61" i="6"/>
  <c r="T60" i="6"/>
  <c r="G60" i="6"/>
  <c r="L60" i="6" s="1"/>
  <c r="F60" i="6"/>
  <c r="T59" i="6"/>
  <c r="G59" i="6"/>
  <c r="L59" i="6" s="1"/>
  <c r="F59" i="6"/>
  <c r="T58" i="6"/>
  <c r="G58" i="6"/>
  <c r="L58" i="6" s="1"/>
  <c r="F58" i="6"/>
  <c r="T57" i="6"/>
  <c r="G57" i="6"/>
  <c r="L57" i="6" s="1"/>
  <c r="F57" i="6"/>
  <c r="T56" i="6"/>
  <c r="G56" i="6"/>
  <c r="L56" i="6" s="1"/>
  <c r="F56" i="6"/>
  <c r="T55" i="6"/>
  <c r="G55" i="6"/>
  <c r="L55" i="6" s="1"/>
  <c r="F55" i="6"/>
  <c r="T54" i="6"/>
  <c r="G54" i="6"/>
  <c r="L54" i="6" s="1"/>
  <c r="F54" i="6"/>
  <c r="T53" i="6"/>
  <c r="G53" i="6"/>
  <c r="L53" i="6" s="1"/>
  <c r="F53" i="6"/>
  <c r="T52" i="6"/>
  <c r="G52" i="6"/>
  <c r="L52" i="6" s="1"/>
  <c r="F52" i="6"/>
  <c r="T51" i="6"/>
  <c r="G51" i="6"/>
  <c r="L51" i="6" s="1"/>
  <c r="F51" i="6"/>
  <c r="T50" i="6"/>
  <c r="G50" i="6"/>
  <c r="L50" i="6" s="1"/>
  <c r="F50" i="6"/>
  <c r="T49" i="6"/>
  <c r="G49" i="6"/>
  <c r="L49" i="6" s="1"/>
  <c r="F49" i="6"/>
  <c r="T48" i="6"/>
  <c r="G48" i="6"/>
  <c r="L48" i="6" s="1"/>
  <c r="F48" i="6"/>
  <c r="T47" i="6"/>
  <c r="G47" i="6"/>
  <c r="L47" i="6" s="1"/>
  <c r="F47" i="6"/>
  <c r="T46" i="6"/>
  <c r="G46" i="6"/>
  <c r="L46" i="6" s="1"/>
  <c r="F46" i="6"/>
  <c r="T45" i="6"/>
  <c r="G45" i="6"/>
  <c r="L45" i="6" s="1"/>
  <c r="F45" i="6"/>
  <c r="T44" i="6"/>
  <c r="G44" i="6"/>
  <c r="L44" i="6" s="1"/>
  <c r="F44" i="6"/>
  <c r="T43" i="6"/>
  <c r="G43" i="6"/>
  <c r="L43" i="6" s="1"/>
  <c r="F43" i="6"/>
  <c r="T42" i="6"/>
  <c r="G42" i="6"/>
  <c r="L42" i="6" s="1"/>
  <c r="F42" i="6"/>
  <c r="T41" i="6"/>
  <c r="G41" i="6"/>
  <c r="F41" i="6"/>
  <c r="D99" i="6"/>
  <c r="D91" i="6"/>
  <c r="D87" i="6"/>
  <c r="D83" i="6"/>
  <c r="D75" i="6"/>
  <c r="L72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S94" i="6" l="1"/>
  <c r="U94" i="6" s="1"/>
  <c r="S74" i="6"/>
  <c r="U74" i="6" s="1"/>
  <c r="S78" i="6"/>
  <c r="U78" i="6" s="1"/>
  <c r="S82" i="6"/>
  <c r="U82" i="6" s="1"/>
  <c r="S86" i="6"/>
  <c r="U86" i="6" s="1"/>
  <c r="S90" i="6"/>
  <c r="U90" i="6" s="1"/>
  <c r="S98" i="6"/>
  <c r="U98" i="6" s="1"/>
  <c r="E77" i="6"/>
  <c r="S77" i="6" s="1"/>
  <c r="U77" i="6" s="1"/>
  <c r="E85" i="6"/>
  <c r="S85" i="6" s="1"/>
  <c r="U85" i="6" s="1"/>
  <c r="E89" i="6"/>
  <c r="S89" i="6" s="1"/>
  <c r="U89" i="6" s="1"/>
  <c r="E93" i="6"/>
  <c r="S93" i="6" s="1"/>
  <c r="U93" i="6" s="1"/>
  <c r="S73" i="6"/>
  <c r="U73" i="6" s="1"/>
  <c r="E83" i="6"/>
  <c r="S83" i="6" s="1"/>
  <c r="U83" i="6" s="1"/>
  <c r="E95" i="6"/>
  <c r="S95" i="6" s="1"/>
  <c r="U95" i="6" s="1"/>
  <c r="E75" i="6"/>
  <c r="S75" i="6" s="1"/>
  <c r="U75" i="6" s="1"/>
  <c r="E87" i="6"/>
  <c r="S87" i="6" s="1"/>
  <c r="U87" i="6" s="1"/>
  <c r="S97" i="6"/>
  <c r="U97" i="6" s="1"/>
  <c r="E79" i="6"/>
  <c r="S79" i="6" s="1"/>
  <c r="U79" i="6" s="1"/>
  <c r="E91" i="6"/>
  <c r="S91" i="6" s="1"/>
  <c r="U91" i="6" s="1"/>
  <c r="S81" i="6"/>
  <c r="U81" i="6" s="1"/>
  <c r="E99" i="6"/>
  <c r="S99" i="6" s="1"/>
  <c r="U99" i="6" s="1"/>
  <c r="S72" i="6"/>
  <c r="U72" i="6" s="1"/>
  <c r="S76" i="6"/>
  <c r="U76" i="6" s="1"/>
  <c r="S80" i="6"/>
  <c r="U80" i="6" s="1"/>
  <c r="S84" i="6"/>
  <c r="U84" i="6" s="1"/>
  <c r="S88" i="6"/>
  <c r="U88" i="6" s="1"/>
  <c r="S92" i="6"/>
  <c r="U92" i="6" s="1"/>
  <c r="S96" i="6"/>
  <c r="U96" i="6" s="1"/>
  <c r="S100" i="6"/>
  <c r="U100" i="6" s="1"/>
  <c r="G38" i="6" l="1"/>
  <c r="L38" i="6" s="1"/>
  <c r="G37" i="6"/>
  <c r="L37" i="6" s="1"/>
  <c r="G36" i="6"/>
  <c r="L36" i="6" s="1"/>
  <c r="G35" i="6"/>
  <c r="L35" i="6" s="1"/>
  <c r="G34" i="6"/>
  <c r="L34" i="6" s="1"/>
  <c r="G33" i="6"/>
  <c r="L33" i="6" s="1"/>
  <c r="G32" i="6"/>
  <c r="L32" i="6" s="1"/>
  <c r="G31" i="6"/>
  <c r="L31" i="6" s="1"/>
  <c r="G30" i="6"/>
  <c r="L30" i="6" s="1"/>
  <c r="G29" i="6"/>
  <c r="L29" i="6" s="1"/>
  <c r="G28" i="6"/>
  <c r="L28" i="6" s="1"/>
  <c r="G27" i="6"/>
  <c r="L27" i="6" s="1"/>
  <c r="G26" i="6"/>
  <c r="L26" i="6" s="1"/>
  <c r="G25" i="6"/>
  <c r="L25" i="6" s="1"/>
  <c r="G24" i="6"/>
  <c r="L24" i="6" s="1"/>
  <c r="G23" i="6"/>
  <c r="L23" i="6" s="1"/>
  <c r="G22" i="6"/>
  <c r="L22" i="6" s="1"/>
  <c r="G21" i="6"/>
  <c r="L21" i="6" s="1"/>
  <c r="G20" i="6"/>
  <c r="L20" i="6" s="1"/>
  <c r="G19" i="6"/>
  <c r="L19" i="6" s="1"/>
  <c r="G18" i="6"/>
  <c r="L18" i="6" s="1"/>
  <c r="G17" i="6"/>
  <c r="L17" i="6" s="1"/>
  <c r="G16" i="6"/>
  <c r="L16" i="6" s="1"/>
  <c r="G15" i="6"/>
  <c r="L15" i="6" s="1"/>
  <c r="G14" i="6"/>
  <c r="L14" i="6" s="1"/>
  <c r="G13" i="6"/>
  <c r="L13" i="6" s="1"/>
  <c r="G12" i="6"/>
  <c r="L12" i="6" s="1"/>
  <c r="G11" i="6"/>
  <c r="L11" i="6" s="1"/>
  <c r="G10" i="6"/>
  <c r="F38" i="6"/>
  <c r="F37" i="6"/>
  <c r="F36" i="6"/>
  <c r="K36" i="6" s="1"/>
  <c r="F35" i="6"/>
  <c r="F34" i="6"/>
  <c r="K34" i="6" s="1"/>
  <c r="F33" i="6"/>
  <c r="F32" i="6"/>
  <c r="K32" i="6" s="1"/>
  <c r="F31" i="6"/>
  <c r="K31" i="6" s="1"/>
  <c r="F30" i="6"/>
  <c r="K30" i="6" s="1"/>
  <c r="F29" i="6"/>
  <c r="F28" i="6"/>
  <c r="K28" i="6" s="1"/>
  <c r="F27" i="6"/>
  <c r="F26" i="6"/>
  <c r="K26" i="6" s="1"/>
  <c r="F25" i="6"/>
  <c r="F24" i="6"/>
  <c r="K24" i="6" s="1"/>
  <c r="F23" i="6"/>
  <c r="F22" i="6"/>
  <c r="K22" i="6" s="1"/>
  <c r="F21" i="6"/>
  <c r="F20" i="6"/>
  <c r="K20" i="6" s="1"/>
  <c r="F19" i="6"/>
  <c r="K19" i="6" s="1"/>
  <c r="F18" i="6"/>
  <c r="F17" i="6"/>
  <c r="K17" i="6" s="1"/>
  <c r="F16" i="6"/>
  <c r="K16" i="6" s="1"/>
  <c r="F15" i="6"/>
  <c r="K15" i="6" s="1"/>
  <c r="F14" i="6"/>
  <c r="F13" i="6"/>
  <c r="F12" i="6"/>
  <c r="K12" i="6" s="1"/>
  <c r="F11" i="6"/>
  <c r="K11" i="6" s="1"/>
  <c r="F1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L41" i="6"/>
  <c r="D41" i="6"/>
  <c r="D11" i="6"/>
  <c r="D22" i="6"/>
  <c r="D36" i="6" l="1"/>
  <c r="D28" i="6"/>
  <c r="D34" i="6"/>
  <c r="E34" i="6" s="1"/>
  <c r="S34" i="6" s="1"/>
  <c r="U34" i="6" s="1"/>
  <c r="D20" i="6"/>
  <c r="E20" i="6" s="1"/>
  <c r="D26" i="6"/>
  <c r="D16" i="6"/>
  <c r="K79" i="6"/>
  <c r="K48" i="6"/>
  <c r="Q17" i="6"/>
  <c r="G10" i="7"/>
  <c r="G10" i="10"/>
  <c r="G10" i="9"/>
  <c r="G14" i="10"/>
  <c r="G14" i="9"/>
  <c r="G14" i="7"/>
  <c r="G18" i="9"/>
  <c r="G18" i="7"/>
  <c r="G18" i="10"/>
  <c r="G22" i="10"/>
  <c r="G22" i="9"/>
  <c r="G22" i="7"/>
  <c r="G26" i="7"/>
  <c r="G26" i="10"/>
  <c r="G26" i="9"/>
  <c r="G30" i="10"/>
  <c r="G30" i="9"/>
  <c r="G30" i="7"/>
  <c r="G34" i="9"/>
  <c r="G34" i="10"/>
  <c r="G34" i="7"/>
  <c r="K53" i="6"/>
  <c r="Q22" i="6"/>
  <c r="K84" i="6"/>
  <c r="K88" i="6"/>
  <c r="K57" i="6"/>
  <c r="Q26" i="6"/>
  <c r="K92" i="6"/>
  <c r="K61" i="6"/>
  <c r="Q30" i="6"/>
  <c r="K96" i="6"/>
  <c r="K65" i="6"/>
  <c r="Q34" i="6"/>
  <c r="G11" i="10"/>
  <c r="G11" i="9"/>
  <c r="G11" i="7"/>
  <c r="G15" i="10"/>
  <c r="G15" i="9"/>
  <c r="G15" i="7"/>
  <c r="G19" i="10"/>
  <c r="G19" i="9"/>
  <c r="G19" i="7"/>
  <c r="G23" i="10"/>
  <c r="G23" i="9"/>
  <c r="G23" i="7"/>
  <c r="G27" i="10"/>
  <c r="G27" i="9"/>
  <c r="G27" i="7"/>
  <c r="G31" i="10"/>
  <c r="G31" i="9"/>
  <c r="G31" i="7"/>
  <c r="G35" i="10"/>
  <c r="G35" i="9"/>
  <c r="G35" i="7"/>
  <c r="D30" i="6"/>
  <c r="K42" i="6"/>
  <c r="Q11" i="6"/>
  <c r="K73" i="6"/>
  <c r="Q15" i="6"/>
  <c r="K46" i="6"/>
  <c r="K77" i="6"/>
  <c r="K81" i="6"/>
  <c r="Q19" i="6"/>
  <c r="K50" i="6"/>
  <c r="K93" i="6"/>
  <c r="K62" i="6"/>
  <c r="Q31" i="6"/>
  <c r="G12" i="7"/>
  <c r="G12" i="10"/>
  <c r="G12" i="9"/>
  <c r="G16" i="7"/>
  <c r="G16" i="10"/>
  <c r="G16" i="9"/>
  <c r="G20" i="10"/>
  <c r="G20" i="7"/>
  <c r="G20" i="9"/>
  <c r="G24" i="9"/>
  <c r="G24" i="10"/>
  <c r="G24" i="7"/>
  <c r="G28" i="10"/>
  <c r="G28" i="9"/>
  <c r="G28" i="7"/>
  <c r="G32" i="7"/>
  <c r="G32" i="10"/>
  <c r="G32" i="9"/>
  <c r="D17" i="6"/>
  <c r="K43" i="6"/>
  <c r="Q12" i="6"/>
  <c r="K74" i="6"/>
  <c r="K47" i="6"/>
  <c r="Q16" i="6"/>
  <c r="K78" i="6"/>
  <c r="K51" i="6"/>
  <c r="Q20" i="6"/>
  <c r="K82" i="6"/>
  <c r="K55" i="6"/>
  <c r="K86" i="6"/>
  <c r="Q24" i="6"/>
  <c r="K59" i="6"/>
  <c r="K90" i="6"/>
  <c r="Q28" i="6"/>
  <c r="K63" i="6"/>
  <c r="K94" i="6"/>
  <c r="Q32" i="6"/>
  <c r="K67" i="6"/>
  <c r="K98" i="6"/>
  <c r="Q36" i="6"/>
  <c r="G9" i="10"/>
  <c r="G9" i="9"/>
  <c r="G9" i="7"/>
  <c r="G13" i="9"/>
  <c r="G13" i="10"/>
  <c r="G13" i="7"/>
  <c r="G17" i="10"/>
  <c r="G17" i="9"/>
  <c r="G17" i="7"/>
  <c r="G21" i="7"/>
  <c r="G21" i="10"/>
  <c r="G21" i="9"/>
  <c r="G25" i="10"/>
  <c r="G25" i="7"/>
  <c r="G25" i="9"/>
  <c r="G29" i="9"/>
  <c r="G29" i="10"/>
  <c r="G29" i="7"/>
  <c r="G33" i="7"/>
  <c r="G33" i="10"/>
  <c r="G33" i="9"/>
  <c r="E36" i="6"/>
  <c r="S36" i="6" s="1"/>
  <c r="U36" i="6" s="1"/>
  <c r="E28" i="6"/>
  <c r="S28" i="6" s="1"/>
  <c r="U28" i="6" s="1"/>
  <c r="E11" i="6"/>
  <c r="S11" i="6" s="1"/>
  <c r="U11" i="6" s="1"/>
  <c r="E41" i="6"/>
  <c r="S41" i="6"/>
  <c r="U41" i="6" s="1"/>
  <c r="E45" i="6"/>
  <c r="S45" i="6" s="1"/>
  <c r="U45" i="6" s="1"/>
  <c r="E49" i="6"/>
  <c r="S49" i="6" s="1"/>
  <c r="U49" i="6" s="1"/>
  <c r="E50" i="6"/>
  <c r="S50" i="6" s="1"/>
  <c r="U50" i="6" s="1"/>
  <c r="E55" i="6"/>
  <c r="S55" i="6"/>
  <c r="U55" i="6" s="1"/>
  <c r="E59" i="6"/>
  <c r="S59" i="6" s="1"/>
  <c r="U59" i="6" s="1"/>
  <c r="E64" i="6"/>
  <c r="S64" i="6" s="1"/>
  <c r="U64" i="6" s="1"/>
  <c r="E68" i="6"/>
  <c r="S68" i="6" s="1"/>
  <c r="U68" i="6" s="1"/>
  <c r="D23" i="6"/>
  <c r="K23" i="6"/>
  <c r="D27" i="6"/>
  <c r="K27" i="6"/>
  <c r="D35" i="6"/>
  <c r="K35" i="6"/>
  <c r="E17" i="6"/>
  <c r="S17" i="6" s="1"/>
  <c r="U17" i="6" s="1"/>
  <c r="E16" i="6"/>
  <c r="S16" i="6"/>
  <c r="U16" i="6" s="1"/>
  <c r="E44" i="6"/>
  <c r="S44" i="6" s="1"/>
  <c r="U44" i="6" s="1"/>
  <c r="E48" i="6"/>
  <c r="S48" i="6" s="1"/>
  <c r="U48" i="6" s="1"/>
  <c r="E54" i="6"/>
  <c r="S54" i="6" s="1"/>
  <c r="U54" i="6" s="1"/>
  <c r="E58" i="6"/>
  <c r="S58" i="6" s="1"/>
  <c r="U58" i="6" s="1"/>
  <c r="E62" i="6"/>
  <c r="S62" i="6" s="1"/>
  <c r="U62" i="6" s="1"/>
  <c r="E63" i="6"/>
  <c r="S63" i="6" s="1"/>
  <c r="U63" i="6" s="1"/>
  <c r="E67" i="6"/>
  <c r="S67" i="6"/>
  <c r="U67" i="6" s="1"/>
  <c r="D32" i="6"/>
  <c r="D24" i="6"/>
  <c r="D15" i="6"/>
  <c r="D31" i="6"/>
  <c r="E43" i="6"/>
  <c r="S43" i="6" s="1"/>
  <c r="U43" i="6" s="1"/>
  <c r="E47" i="6"/>
  <c r="S47" i="6" s="1"/>
  <c r="U47" i="6" s="1"/>
  <c r="E52" i="6"/>
  <c r="S52" i="6" s="1"/>
  <c r="U52" i="6" s="1"/>
  <c r="E53" i="6"/>
  <c r="S53" i="6" s="1"/>
  <c r="U53" i="6" s="1"/>
  <c r="E57" i="6"/>
  <c r="S57" i="6" s="1"/>
  <c r="U57" i="6" s="1"/>
  <c r="E61" i="6"/>
  <c r="S61" i="6" s="1"/>
  <c r="U61" i="6" s="1"/>
  <c r="E66" i="6"/>
  <c r="S66" i="6" s="1"/>
  <c r="U66" i="6" s="1"/>
  <c r="D13" i="6"/>
  <c r="K13" i="6"/>
  <c r="D21" i="6"/>
  <c r="K21" i="6"/>
  <c r="D25" i="6"/>
  <c r="K25" i="6"/>
  <c r="D29" i="6"/>
  <c r="K29" i="6"/>
  <c r="D33" i="6"/>
  <c r="K33" i="6"/>
  <c r="D37" i="6"/>
  <c r="K37" i="6"/>
  <c r="E22" i="6"/>
  <c r="S22" i="6"/>
  <c r="U22" i="6" s="1"/>
  <c r="D12" i="6"/>
  <c r="D19" i="6"/>
  <c r="E42" i="6"/>
  <c r="S42" i="6" s="1"/>
  <c r="U42" i="6" s="1"/>
  <c r="E46" i="6"/>
  <c r="S46" i="6" s="1"/>
  <c r="U46" i="6" s="1"/>
  <c r="E51" i="6"/>
  <c r="S51" i="6" s="1"/>
  <c r="U51" i="6" s="1"/>
  <c r="E56" i="6"/>
  <c r="S56" i="6"/>
  <c r="U56" i="6" s="1"/>
  <c r="E60" i="6"/>
  <c r="S60" i="6" s="1"/>
  <c r="U60" i="6" s="1"/>
  <c r="E65" i="6"/>
  <c r="S65" i="6" s="1"/>
  <c r="U65" i="6" s="1"/>
  <c r="E69" i="6"/>
  <c r="S69" i="6" s="1"/>
  <c r="U69" i="6" s="1"/>
  <c r="D14" i="6"/>
  <c r="K14" i="6"/>
  <c r="D18" i="6"/>
  <c r="K18" i="6"/>
  <c r="D38" i="6"/>
  <c r="K38" i="6"/>
  <c r="E26" i="6" l="1"/>
  <c r="S26" i="6" s="1"/>
  <c r="U26" i="6" s="1"/>
  <c r="S20" i="6"/>
  <c r="U20" i="6" s="1"/>
  <c r="E30" i="6"/>
  <c r="S30" i="6" s="1"/>
  <c r="U30" i="6" s="1"/>
  <c r="Q98" i="6"/>
  <c r="I98" i="6"/>
  <c r="Q90" i="6"/>
  <c r="I90" i="6"/>
  <c r="Q82" i="6"/>
  <c r="I82" i="6"/>
  <c r="I78" i="6"/>
  <c r="Q78" i="6"/>
  <c r="Q93" i="6"/>
  <c r="I93" i="6"/>
  <c r="I81" i="6"/>
  <c r="Q81" i="6"/>
  <c r="Q96" i="6"/>
  <c r="I96" i="6"/>
  <c r="Q92" i="6"/>
  <c r="I92" i="6"/>
  <c r="I88" i="6"/>
  <c r="Q88" i="6"/>
  <c r="Q53" i="6"/>
  <c r="I53" i="6"/>
  <c r="Q18" i="6"/>
  <c r="K80" i="6"/>
  <c r="K49" i="6"/>
  <c r="K99" i="6"/>
  <c r="K68" i="6"/>
  <c r="Q37" i="6"/>
  <c r="K91" i="6"/>
  <c r="K60" i="6"/>
  <c r="Q29" i="6"/>
  <c r="K83" i="6"/>
  <c r="Q21" i="6"/>
  <c r="K52" i="6"/>
  <c r="K97" i="6"/>
  <c r="Q35" i="6"/>
  <c r="K66" i="6"/>
  <c r="Q23" i="6"/>
  <c r="K85" i="6"/>
  <c r="K54" i="6"/>
  <c r="Q94" i="6"/>
  <c r="I94" i="6"/>
  <c r="Q86" i="6"/>
  <c r="I86" i="6"/>
  <c r="Q77" i="6"/>
  <c r="I77" i="6"/>
  <c r="Q73" i="6"/>
  <c r="I73" i="6"/>
  <c r="Q48" i="6"/>
  <c r="I48" i="6"/>
  <c r="Q67" i="6"/>
  <c r="I67" i="6"/>
  <c r="Q63" i="6"/>
  <c r="I63" i="6"/>
  <c r="Q59" i="6"/>
  <c r="I59" i="6"/>
  <c r="Q55" i="6"/>
  <c r="I55" i="6"/>
  <c r="Q51" i="6"/>
  <c r="I51" i="6"/>
  <c r="Q47" i="6"/>
  <c r="I47" i="6"/>
  <c r="Q43" i="6"/>
  <c r="I43" i="6"/>
  <c r="Q50" i="6"/>
  <c r="I50" i="6"/>
  <c r="Q84" i="6"/>
  <c r="I84" i="6"/>
  <c r="I79" i="6"/>
  <c r="Q79" i="6"/>
  <c r="K69" i="6"/>
  <c r="K100" i="6"/>
  <c r="Q38" i="6"/>
  <c r="K76" i="6"/>
  <c r="Q14" i="6"/>
  <c r="K45" i="6"/>
  <c r="K95" i="6"/>
  <c r="K64" i="6"/>
  <c r="Q33" i="6"/>
  <c r="K87" i="6"/>
  <c r="Q25" i="6"/>
  <c r="K56" i="6"/>
  <c r="K75" i="6"/>
  <c r="Q13" i="6"/>
  <c r="K44" i="6"/>
  <c r="K58" i="6"/>
  <c r="Q27" i="6"/>
  <c r="K89" i="6"/>
  <c r="Q74" i="6"/>
  <c r="I74" i="6"/>
  <c r="Q62" i="6"/>
  <c r="I62" i="6"/>
  <c r="Q46" i="6"/>
  <c r="I46" i="6"/>
  <c r="Q42" i="6"/>
  <c r="I42" i="6"/>
  <c r="Q65" i="6"/>
  <c r="I65" i="6"/>
  <c r="Q61" i="6"/>
  <c r="I61" i="6"/>
  <c r="Q57" i="6"/>
  <c r="I57" i="6"/>
  <c r="E32" i="6"/>
  <c r="S32" i="6" s="1"/>
  <c r="U32" i="6" s="1"/>
  <c r="E18" i="6"/>
  <c r="S18" i="6" s="1"/>
  <c r="U18" i="6" s="1"/>
  <c r="E37" i="6"/>
  <c r="S37" i="6" s="1"/>
  <c r="U37" i="6" s="1"/>
  <c r="E29" i="6"/>
  <c r="S29" i="6"/>
  <c r="U29" i="6" s="1"/>
  <c r="E21" i="6"/>
  <c r="S21" i="6" s="1"/>
  <c r="U21" i="6" s="1"/>
  <c r="E31" i="6"/>
  <c r="S31" i="6"/>
  <c r="U31" i="6" s="1"/>
  <c r="E35" i="6"/>
  <c r="S35" i="6" s="1"/>
  <c r="U35" i="6" s="1"/>
  <c r="E23" i="6"/>
  <c r="S23" i="6" s="1"/>
  <c r="U23" i="6" s="1"/>
  <c r="E19" i="6"/>
  <c r="S19" i="6" s="1"/>
  <c r="U19" i="6" s="1"/>
  <c r="E15" i="6"/>
  <c r="S15" i="6" s="1"/>
  <c r="U15" i="6" s="1"/>
  <c r="E38" i="6"/>
  <c r="S38" i="6" s="1"/>
  <c r="U38" i="6" s="1"/>
  <c r="E14" i="6"/>
  <c r="S14" i="6"/>
  <c r="U14" i="6" s="1"/>
  <c r="E12" i="6"/>
  <c r="S12" i="6" s="1"/>
  <c r="U12" i="6" s="1"/>
  <c r="E33" i="6"/>
  <c r="S33" i="6"/>
  <c r="U33" i="6" s="1"/>
  <c r="E25" i="6"/>
  <c r="S25" i="6" s="1"/>
  <c r="U25" i="6" s="1"/>
  <c r="E13" i="6"/>
  <c r="S13" i="6" s="1"/>
  <c r="U13" i="6" s="1"/>
  <c r="E24" i="6"/>
  <c r="S24" i="6" s="1"/>
  <c r="U24" i="6" s="1"/>
  <c r="E27" i="6"/>
  <c r="S27" i="6" s="1"/>
  <c r="U27" i="6" s="1"/>
  <c r="Q58" i="6" l="1"/>
  <c r="I58" i="6"/>
  <c r="I75" i="6"/>
  <c r="Q75" i="6"/>
  <c r="I87" i="6"/>
  <c r="Q87" i="6"/>
  <c r="I95" i="6"/>
  <c r="Q95" i="6"/>
  <c r="Q85" i="6"/>
  <c r="I85" i="6"/>
  <c r="Q66" i="6"/>
  <c r="I66" i="6"/>
  <c r="Q60" i="6"/>
  <c r="I60" i="6"/>
  <c r="I80" i="6"/>
  <c r="Q80" i="6"/>
  <c r="J81" i="6"/>
  <c r="O81" i="6" s="1"/>
  <c r="P81" i="6"/>
  <c r="J78" i="6"/>
  <c r="O78" i="6" s="1"/>
  <c r="W78" i="6"/>
  <c r="N78" i="6"/>
  <c r="P78" i="6"/>
  <c r="P61" i="6"/>
  <c r="J61" i="6"/>
  <c r="O61" i="6" s="1"/>
  <c r="W42" i="6"/>
  <c r="J42" i="6"/>
  <c r="O42" i="6" s="1"/>
  <c r="P42" i="6"/>
  <c r="J62" i="6"/>
  <c r="O62" i="6" s="1"/>
  <c r="P62" i="6"/>
  <c r="Q89" i="6"/>
  <c r="I89" i="6"/>
  <c r="Q44" i="6"/>
  <c r="I44" i="6"/>
  <c r="Q45" i="6"/>
  <c r="I45" i="6"/>
  <c r="J50" i="6"/>
  <c r="P50" i="6"/>
  <c r="J47" i="6"/>
  <c r="O47" i="6" s="1"/>
  <c r="P47" i="6"/>
  <c r="J55" i="6"/>
  <c r="W55" i="6" s="1"/>
  <c r="P55" i="6"/>
  <c r="J63" i="6"/>
  <c r="P63" i="6"/>
  <c r="N63" i="6"/>
  <c r="J48" i="6"/>
  <c r="P48" i="6"/>
  <c r="J77" i="6"/>
  <c r="O77" i="6" s="1"/>
  <c r="P77" i="6"/>
  <c r="J94" i="6"/>
  <c r="O94" i="6" s="1"/>
  <c r="P94" i="6"/>
  <c r="Q68" i="6"/>
  <c r="I68" i="6"/>
  <c r="J96" i="6"/>
  <c r="O96" i="6" s="1"/>
  <c r="P96" i="6"/>
  <c r="J93" i="6"/>
  <c r="O93" i="6" s="1"/>
  <c r="P93" i="6"/>
  <c r="J82" i="6"/>
  <c r="O82" i="6" s="1"/>
  <c r="P82" i="6"/>
  <c r="J98" i="6"/>
  <c r="O98" i="6" s="1"/>
  <c r="P98" i="6"/>
  <c r="N42" i="6"/>
  <c r="Q56" i="6"/>
  <c r="I56" i="6"/>
  <c r="Q100" i="6"/>
  <c r="I100" i="6"/>
  <c r="J79" i="6"/>
  <c r="O79" i="6" s="1"/>
  <c r="P79" i="6"/>
  <c r="I97" i="6"/>
  <c r="Q97" i="6"/>
  <c r="I83" i="6"/>
  <c r="Q83" i="6"/>
  <c r="I91" i="6"/>
  <c r="Q91" i="6"/>
  <c r="I99" i="6"/>
  <c r="Q99" i="6"/>
  <c r="J88" i="6"/>
  <c r="O88" i="6" s="1"/>
  <c r="P88" i="6"/>
  <c r="N47" i="6"/>
  <c r="J57" i="6"/>
  <c r="O57" i="6" s="1"/>
  <c r="P57" i="6"/>
  <c r="J65" i="6"/>
  <c r="P65" i="6"/>
  <c r="J46" i="6"/>
  <c r="P46" i="6"/>
  <c r="J74" i="6"/>
  <c r="O74" i="6" s="1"/>
  <c r="P74" i="6"/>
  <c r="Q64" i="6"/>
  <c r="I64" i="6"/>
  <c r="Q76" i="6"/>
  <c r="I76" i="6"/>
  <c r="Q69" i="6"/>
  <c r="I69" i="6"/>
  <c r="J84" i="6"/>
  <c r="O84" i="6" s="1"/>
  <c r="P84" i="6"/>
  <c r="J43" i="6"/>
  <c r="O43" i="6" s="1"/>
  <c r="P43" i="6"/>
  <c r="J51" i="6"/>
  <c r="W51" i="6" s="1"/>
  <c r="P51" i="6"/>
  <c r="J59" i="6"/>
  <c r="P59" i="6"/>
  <c r="P67" i="6"/>
  <c r="J67" i="6"/>
  <c r="J73" i="6"/>
  <c r="O73" i="6" s="1"/>
  <c r="W73" i="6"/>
  <c r="P73" i="6"/>
  <c r="J86" i="6"/>
  <c r="O86" i="6" s="1"/>
  <c r="W86" i="6"/>
  <c r="P86" i="6"/>
  <c r="Q54" i="6"/>
  <c r="I54" i="6"/>
  <c r="Q52" i="6"/>
  <c r="I52" i="6"/>
  <c r="Q49" i="6"/>
  <c r="I49" i="6"/>
  <c r="J53" i="6"/>
  <c r="P53" i="6"/>
  <c r="J92" i="6"/>
  <c r="O92" i="6" s="1"/>
  <c r="P92" i="6"/>
  <c r="J90" i="6"/>
  <c r="O90" i="6" s="1"/>
  <c r="W90" i="6"/>
  <c r="P90" i="6"/>
  <c r="G6" i="13"/>
  <c r="W92" i="6" l="1"/>
  <c r="N94" i="6"/>
  <c r="N90" i="6"/>
  <c r="N92" i="6"/>
  <c r="N86" i="6"/>
  <c r="N73" i="6"/>
  <c r="W94" i="6"/>
  <c r="W74" i="6"/>
  <c r="N79" i="6"/>
  <c r="W43" i="6"/>
  <c r="N57" i="6"/>
  <c r="N43" i="6"/>
  <c r="W88" i="6"/>
  <c r="W77" i="6"/>
  <c r="W81" i="6"/>
  <c r="J52" i="6"/>
  <c r="O52" i="6" s="1"/>
  <c r="P52" i="6"/>
  <c r="O67" i="6"/>
  <c r="N67" i="6"/>
  <c r="O59" i="6"/>
  <c r="N59" i="6"/>
  <c r="P99" i="6"/>
  <c r="J99" i="6"/>
  <c r="O99" i="6" s="1"/>
  <c r="P83" i="6"/>
  <c r="J83" i="6"/>
  <c r="O83" i="6" s="1"/>
  <c r="O48" i="6"/>
  <c r="W48" i="6"/>
  <c r="N48" i="6"/>
  <c r="J45" i="6"/>
  <c r="O45" i="6" s="1"/>
  <c r="P45" i="6"/>
  <c r="J89" i="6"/>
  <c r="O89" i="6" s="1"/>
  <c r="P89" i="6"/>
  <c r="J80" i="6"/>
  <c r="O80" i="6" s="1"/>
  <c r="P80" i="6"/>
  <c r="P95" i="6"/>
  <c r="J95" i="6"/>
  <c r="O95" i="6" s="1"/>
  <c r="J75" i="6"/>
  <c r="O75" i="6" s="1"/>
  <c r="P75" i="6"/>
  <c r="O53" i="6"/>
  <c r="N53" i="6"/>
  <c r="W53" i="6"/>
  <c r="W67" i="6"/>
  <c r="W59" i="6"/>
  <c r="P69" i="6"/>
  <c r="J69" i="6"/>
  <c r="O69" i="6" s="1"/>
  <c r="J64" i="6"/>
  <c r="O64" i="6" s="1"/>
  <c r="P64" i="6"/>
  <c r="O46" i="6"/>
  <c r="N46" i="6"/>
  <c r="W47" i="6"/>
  <c r="J56" i="6"/>
  <c r="O56" i="6" s="1"/>
  <c r="P56" i="6"/>
  <c r="N93" i="6"/>
  <c r="N96" i="6"/>
  <c r="P68" i="6"/>
  <c r="J68" i="6"/>
  <c r="O68" i="6" s="1"/>
  <c r="N68" i="6"/>
  <c r="J60" i="6"/>
  <c r="O60" i="6" s="1"/>
  <c r="P60" i="6"/>
  <c r="J85" i="6"/>
  <c r="O85" i="6" s="1"/>
  <c r="P85" i="6"/>
  <c r="P58" i="6"/>
  <c r="J58" i="6"/>
  <c r="O58" i="6" s="1"/>
  <c r="J49" i="6"/>
  <c r="O49" i="6" s="1"/>
  <c r="P49" i="6"/>
  <c r="J54" i="6"/>
  <c r="O54" i="6" s="1"/>
  <c r="P54" i="6"/>
  <c r="N84" i="6"/>
  <c r="N61" i="6"/>
  <c r="J91" i="6"/>
  <c r="O91" i="6" s="1"/>
  <c r="P91" i="6"/>
  <c r="J97" i="6"/>
  <c r="O97" i="6" s="1"/>
  <c r="P97" i="6"/>
  <c r="W79" i="6"/>
  <c r="N98" i="6"/>
  <c r="N82" i="6"/>
  <c r="O55" i="6"/>
  <c r="N55" i="6"/>
  <c r="O50" i="6"/>
  <c r="W50" i="6"/>
  <c r="J44" i="6"/>
  <c r="O44" i="6" s="1"/>
  <c r="P44" i="6"/>
  <c r="N62" i="6"/>
  <c r="P87" i="6"/>
  <c r="J87" i="6"/>
  <c r="O87" i="6" s="1"/>
  <c r="O51" i="6"/>
  <c r="N51" i="6"/>
  <c r="W84" i="6"/>
  <c r="J76" i="6"/>
  <c r="O76" i="6" s="1"/>
  <c r="P76" i="6"/>
  <c r="N74" i="6"/>
  <c r="W46" i="6"/>
  <c r="O65" i="6"/>
  <c r="W65" i="6"/>
  <c r="N65" i="6"/>
  <c r="W57" i="6"/>
  <c r="N88" i="6"/>
  <c r="J100" i="6"/>
  <c r="O100" i="6" s="1"/>
  <c r="P100" i="6"/>
  <c r="W61" i="6"/>
  <c r="W98" i="6"/>
  <c r="W82" i="6"/>
  <c r="W93" i="6"/>
  <c r="W96" i="6"/>
  <c r="N77" i="6"/>
  <c r="O63" i="6"/>
  <c r="W63" i="6"/>
  <c r="N50" i="6"/>
  <c r="W62" i="6"/>
  <c r="N81" i="6"/>
  <c r="J66" i="6"/>
  <c r="O66" i="6" s="1"/>
  <c r="P66" i="6"/>
  <c r="G5" i="13"/>
  <c r="N54" i="6" l="1"/>
  <c r="N56" i="6"/>
  <c r="W69" i="6"/>
  <c r="W76" i="6"/>
  <c r="N83" i="6"/>
  <c r="W97" i="6"/>
  <c r="N45" i="6"/>
  <c r="N99" i="6"/>
  <c r="W87" i="6"/>
  <c r="W89" i="6"/>
  <c r="W83" i="6"/>
  <c r="W99" i="6"/>
  <c r="N76" i="6"/>
  <c r="W44" i="6"/>
  <c r="W58" i="6"/>
  <c r="N60" i="6"/>
  <c r="N87" i="6"/>
  <c r="N44" i="6"/>
  <c r="W54" i="6"/>
  <c r="N58" i="6"/>
  <c r="W68" i="6"/>
  <c r="N69" i="6"/>
  <c r="W80" i="6"/>
  <c r="N49" i="6"/>
  <c r="N85" i="6"/>
  <c r="W52" i="6"/>
  <c r="N66" i="6"/>
  <c r="N100" i="6"/>
  <c r="W91" i="6"/>
  <c r="N64" i="6"/>
  <c r="W75" i="6"/>
  <c r="W95" i="6"/>
  <c r="N52" i="6"/>
  <c r="W66" i="6"/>
  <c r="W100" i="6"/>
  <c r="N97" i="6"/>
  <c r="N91" i="6"/>
  <c r="W49" i="6"/>
  <c r="W85" i="6"/>
  <c r="W60" i="6"/>
  <c r="W56" i="6"/>
  <c r="W64" i="6"/>
  <c r="N75" i="6"/>
  <c r="N95" i="6"/>
  <c r="N80" i="6"/>
  <c r="N89" i="6"/>
  <c r="W45" i="6"/>
  <c r="G4" i="13"/>
  <c r="F6" i="13"/>
  <c r="F5" i="13"/>
  <c r="F4" i="13"/>
  <c r="F120" i="8" l="1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4" i="8"/>
  <c r="F5" i="8"/>
  <c r="F6" i="8"/>
  <c r="F3" i="8"/>
  <c r="I38" i="6" l="1"/>
  <c r="I31" i="6"/>
  <c r="I18" i="6"/>
  <c r="P18" i="6" l="1"/>
  <c r="E5" i="13"/>
  <c r="P31" i="6"/>
  <c r="E6" i="13"/>
  <c r="P38" i="6"/>
  <c r="D34" i="7"/>
  <c r="J38" i="6"/>
  <c r="O38" i="6" s="1"/>
  <c r="J31" i="6"/>
  <c r="O31" i="6" s="1"/>
  <c r="D27" i="7"/>
  <c r="J18" i="6"/>
  <c r="O18" i="6" s="1"/>
  <c r="D15" i="7"/>
  <c r="W18" i="6" l="1"/>
  <c r="W31" i="6"/>
  <c r="W38" i="6"/>
  <c r="N38" i="6"/>
  <c r="N31" i="6"/>
  <c r="N18" i="6"/>
  <c r="D15" i="9"/>
  <c r="E15" i="9" s="1"/>
  <c r="D15" i="10"/>
  <c r="E15" i="10" s="1"/>
  <c r="X79" i="6" s="1"/>
  <c r="Y79" i="6" s="1"/>
  <c r="D27" i="9"/>
  <c r="E27" i="9" s="1"/>
  <c r="D34" i="9"/>
  <c r="D27" i="10"/>
  <c r="E27" i="10" s="1"/>
  <c r="D34" i="10"/>
  <c r="E27" i="7"/>
  <c r="X29" i="6" s="1"/>
  <c r="E34" i="7"/>
  <c r="X36" i="6" s="1"/>
  <c r="E15" i="7"/>
  <c r="X17" i="6" s="1"/>
  <c r="E4" i="13"/>
  <c r="I35" i="6"/>
  <c r="X91" i="6" l="1"/>
  <c r="Y91" i="6" s="1"/>
  <c r="X48" i="6"/>
  <c r="Y48" i="6" s="1"/>
  <c r="P35" i="6"/>
  <c r="X60" i="6"/>
  <c r="Y60" i="6" s="1"/>
  <c r="E34" i="10"/>
  <c r="X98" i="6" s="1"/>
  <c r="Y98" i="6" s="1"/>
  <c r="E34" i="9"/>
  <c r="X67" i="6" s="1"/>
  <c r="Y67" i="6" s="1"/>
  <c r="D31" i="7"/>
  <c r="J35" i="6"/>
  <c r="O35" i="6" s="1"/>
  <c r="W35" i="6" l="1"/>
  <c r="N35" i="6"/>
  <c r="D31" i="9"/>
  <c r="E31" i="9" s="1"/>
  <c r="D31" i="10"/>
  <c r="E31" i="10" s="1"/>
  <c r="X95" i="6" s="1"/>
  <c r="Y95" i="6" s="1"/>
  <c r="E31" i="7"/>
  <c r="X33" i="6" s="1"/>
  <c r="X64" i="6" l="1"/>
  <c r="Y64" i="6" s="1"/>
  <c r="X38" i="6" l="1"/>
  <c r="Y38" i="6" s="1"/>
  <c r="X69" i="6" l="1"/>
  <c r="Y69" i="6" s="1"/>
  <c r="X100" i="6"/>
  <c r="Y100" i="6" s="1"/>
  <c r="L10" i="6"/>
  <c r="D10" i="6"/>
  <c r="E10" i="6" l="1"/>
  <c r="S10" i="6" s="1"/>
  <c r="U10" i="6" s="1"/>
  <c r="G8" i="7"/>
  <c r="G8" i="10"/>
  <c r="G8" i="9"/>
  <c r="I36" i="6"/>
  <c r="I33" i="6"/>
  <c r="I30" i="6"/>
  <c r="I28" i="6"/>
  <c r="I26" i="6"/>
  <c r="I24" i="6"/>
  <c r="I22" i="6"/>
  <c r="I20" i="6"/>
  <c r="I17" i="6"/>
  <c r="I15" i="6"/>
  <c r="I14" i="6"/>
  <c r="I13" i="6"/>
  <c r="I11" i="6"/>
  <c r="I37" i="6"/>
  <c r="I32" i="6"/>
  <c r="I27" i="6"/>
  <c r="I23" i="6"/>
  <c r="I19" i="6"/>
  <c r="I16" i="6"/>
  <c r="P23" i="6" l="1"/>
  <c r="P11" i="6"/>
  <c r="P17" i="6"/>
  <c r="P26" i="6"/>
  <c r="P36" i="6"/>
  <c r="P27" i="6"/>
  <c r="P13" i="6"/>
  <c r="P20" i="6"/>
  <c r="P28" i="6"/>
  <c r="P16" i="6"/>
  <c r="P32" i="6"/>
  <c r="P14" i="6"/>
  <c r="P22" i="6"/>
  <c r="P30" i="6"/>
  <c r="P19" i="6"/>
  <c r="P37" i="6"/>
  <c r="P15" i="6"/>
  <c r="P24" i="6"/>
  <c r="P33" i="6"/>
  <c r="D33" i="7"/>
  <c r="D12" i="7"/>
  <c r="D21" i="7"/>
  <c r="D29" i="7"/>
  <c r="D16" i="7"/>
  <c r="D23" i="7"/>
  <c r="D9" i="7"/>
  <c r="D17" i="7"/>
  <c r="D24" i="7"/>
  <c r="D35" i="7"/>
  <c r="D11" i="7"/>
  <c r="D20" i="7"/>
  <c r="D28" i="7"/>
  <c r="D10" i="7"/>
  <c r="D14" i="7"/>
  <c r="D26" i="7"/>
  <c r="D32" i="7"/>
  <c r="D13" i="7"/>
  <c r="D19" i="7"/>
  <c r="J23" i="6"/>
  <c r="O23" i="6" s="1"/>
  <c r="J19" i="6"/>
  <c r="O19" i="6" s="1"/>
  <c r="J37" i="6"/>
  <c r="O37" i="6" s="1"/>
  <c r="J13" i="6"/>
  <c r="O13" i="6" s="1"/>
  <c r="J15" i="6"/>
  <c r="O15" i="6" s="1"/>
  <c r="J20" i="6"/>
  <c r="O20" i="6" s="1"/>
  <c r="J24" i="6"/>
  <c r="O24" i="6" s="1"/>
  <c r="J28" i="6"/>
  <c r="O28" i="6" s="1"/>
  <c r="J33" i="6"/>
  <c r="O33" i="6" s="1"/>
  <c r="J16" i="6"/>
  <c r="O16" i="6" s="1"/>
  <c r="J32" i="6"/>
  <c r="O32" i="6" s="1"/>
  <c r="J27" i="6"/>
  <c r="O27" i="6" s="1"/>
  <c r="J11" i="6"/>
  <c r="O11" i="6" s="1"/>
  <c r="J14" i="6"/>
  <c r="O14" i="6" s="1"/>
  <c r="J17" i="6"/>
  <c r="O17" i="6" s="1"/>
  <c r="J22" i="6"/>
  <c r="O22" i="6" s="1"/>
  <c r="J26" i="6"/>
  <c r="O26" i="6" s="1"/>
  <c r="J30" i="6"/>
  <c r="O30" i="6" s="1"/>
  <c r="J36" i="6"/>
  <c r="O36" i="6" s="1"/>
  <c r="I12" i="6"/>
  <c r="I29" i="6"/>
  <c r="I34" i="6"/>
  <c r="I21" i="6"/>
  <c r="I25" i="6"/>
  <c r="N20" i="6" l="1"/>
  <c r="N16" i="6"/>
  <c r="N19" i="6"/>
  <c r="N26" i="6"/>
  <c r="N11" i="6"/>
  <c r="W15" i="6"/>
  <c r="N30" i="6"/>
  <c r="W14" i="6"/>
  <c r="W26" i="6"/>
  <c r="W11" i="6"/>
  <c r="W33" i="6"/>
  <c r="Y33" i="6" s="1"/>
  <c r="W23" i="6"/>
  <c r="N33" i="6"/>
  <c r="W37" i="6"/>
  <c r="P25" i="6"/>
  <c r="P12" i="6"/>
  <c r="W28" i="6"/>
  <c r="N27" i="6"/>
  <c r="P21" i="6"/>
  <c r="N24" i="6"/>
  <c r="W22" i="6"/>
  <c r="N32" i="6"/>
  <c r="W36" i="6"/>
  <c r="Y36" i="6" s="1"/>
  <c r="P34" i="6"/>
  <c r="W24" i="6"/>
  <c r="N37" i="6"/>
  <c r="W19" i="6"/>
  <c r="W30" i="6"/>
  <c r="N14" i="6"/>
  <c r="W16" i="6"/>
  <c r="W13" i="6"/>
  <c r="W27" i="6"/>
  <c r="W17" i="6"/>
  <c r="Y17" i="6" s="1"/>
  <c r="P29" i="6"/>
  <c r="N15" i="6"/>
  <c r="N22" i="6"/>
  <c r="W32" i="6"/>
  <c r="N28" i="6"/>
  <c r="W20" i="6"/>
  <c r="N13" i="6"/>
  <c r="N36" i="6"/>
  <c r="N17" i="6"/>
  <c r="N23" i="6"/>
  <c r="D19" i="10"/>
  <c r="E19" i="10" s="1"/>
  <c r="X83" i="6" s="1"/>
  <c r="Y83" i="6" s="1"/>
  <c r="D14" i="10"/>
  <c r="D20" i="9"/>
  <c r="E20" i="9" s="1"/>
  <c r="D17" i="9"/>
  <c r="D29" i="9"/>
  <c r="E29" i="9" s="1"/>
  <c r="X62" i="6" s="1"/>
  <c r="Y62" i="6" s="1"/>
  <c r="D26" i="10"/>
  <c r="D28" i="9"/>
  <c r="E28" i="9" s="1"/>
  <c r="D24" i="9"/>
  <c r="E24" i="9" s="1"/>
  <c r="D17" i="10"/>
  <c r="E17" i="10" s="1"/>
  <c r="X81" i="6" s="1"/>
  <c r="Y81" i="6" s="1"/>
  <c r="D16" i="9"/>
  <c r="D33" i="9"/>
  <c r="E33" i="9" s="1"/>
  <c r="X66" i="6" s="1"/>
  <c r="Y66" i="6" s="1"/>
  <c r="D13" i="9"/>
  <c r="D32" i="10"/>
  <c r="E32" i="10" s="1"/>
  <c r="X96" i="6" s="1"/>
  <c r="Y96" i="6" s="1"/>
  <c r="D10" i="9"/>
  <c r="D28" i="10"/>
  <c r="E28" i="10" s="1"/>
  <c r="X92" i="6" s="1"/>
  <c r="Y92" i="6" s="1"/>
  <c r="D35" i="10"/>
  <c r="D24" i="10"/>
  <c r="E24" i="10" s="1"/>
  <c r="X88" i="6" s="1"/>
  <c r="Y88" i="6" s="1"/>
  <c r="D23" i="9"/>
  <c r="D16" i="10"/>
  <c r="E16" i="10" s="1"/>
  <c r="X80" i="6" s="1"/>
  <c r="Y80" i="6" s="1"/>
  <c r="D12" i="9"/>
  <c r="E12" i="9" s="1"/>
  <c r="X45" i="6" s="1"/>
  <c r="Y45" i="6" s="1"/>
  <c r="D33" i="10"/>
  <c r="E33" i="10" s="1"/>
  <c r="X97" i="6" s="1"/>
  <c r="Y97" i="6" s="1"/>
  <c r="D26" i="9"/>
  <c r="E26" i="9" s="1"/>
  <c r="D11" i="9"/>
  <c r="E11" i="9" s="1"/>
  <c r="X44" i="6" s="1"/>
  <c r="Y44" i="6" s="1"/>
  <c r="D9" i="10"/>
  <c r="D21" i="10"/>
  <c r="E21" i="10" s="1"/>
  <c r="X85" i="6" s="1"/>
  <c r="Y85" i="6" s="1"/>
  <c r="D32" i="9"/>
  <c r="D20" i="10"/>
  <c r="E20" i="10" s="1"/>
  <c r="X84" i="6" s="1"/>
  <c r="Y84" i="6" s="1"/>
  <c r="D29" i="10"/>
  <c r="D19" i="9"/>
  <c r="D13" i="10"/>
  <c r="D14" i="9"/>
  <c r="D10" i="10"/>
  <c r="E10" i="10" s="1"/>
  <c r="X74" i="6" s="1"/>
  <c r="Y74" i="6" s="1"/>
  <c r="D11" i="10"/>
  <c r="D35" i="9"/>
  <c r="D9" i="9"/>
  <c r="D23" i="10"/>
  <c r="D21" i="9"/>
  <c r="D12" i="10"/>
  <c r="E12" i="10" s="1"/>
  <c r="D30" i="7"/>
  <c r="D22" i="7"/>
  <c r="D25" i="7"/>
  <c r="D18" i="7"/>
  <c r="J12" i="6"/>
  <c r="O12" i="6" s="1"/>
  <c r="J21" i="6"/>
  <c r="O21" i="6" s="1"/>
  <c r="J29" i="6"/>
  <c r="O29" i="6" s="1"/>
  <c r="J25" i="6"/>
  <c r="O25" i="6" s="1"/>
  <c r="J34" i="6"/>
  <c r="O34" i="6" s="1"/>
  <c r="W25" i="6" l="1"/>
  <c r="N34" i="6"/>
  <c r="W12" i="6"/>
  <c r="N25" i="6"/>
  <c r="N29" i="6"/>
  <c r="N21" i="6"/>
  <c r="W21" i="6"/>
  <c r="W29" i="6"/>
  <c r="Y29" i="6" s="1"/>
  <c r="W34" i="6"/>
  <c r="N12" i="6"/>
  <c r="X61" i="6"/>
  <c r="Y61" i="6" s="1"/>
  <c r="X53" i="6"/>
  <c r="Y53" i="6" s="1"/>
  <c r="E13" i="10"/>
  <c r="X77" i="6" s="1"/>
  <c r="Y77" i="6" s="1"/>
  <c r="E14" i="10"/>
  <c r="X78" i="6" s="1"/>
  <c r="Y78" i="6" s="1"/>
  <c r="E9" i="10"/>
  <c r="X73" i="6" s="1"/>
  <c r="Y73" i="6" s="1"/>
  <c r="E16" i="9"/>
  <c r="X49" i="6" s="1"/>
  <c r="Y49" i="6" s="1"/>
  <c r="E17" i="9"/>
  <c r="X50" i="6" s="1"/>
  <c r="Y50" i="6" s="1"/>
  <c r="E23" i="9"/>
  <c r="X56" i="6" s="1"/>
  <c r="Y56" i="6" s="1"/>
  <c r="E13" i="9"/>
  <c r="X46" i="6" s="1"/>
  <c r="Y46" i="6" s="1"/>
  <c r="E26" i="10"/>
  <c r="X90" i="6" s="1"/>
  <c r="Y90" i="6" s="1"/>
  <c r="X57" i="6"/>
  <c r="Y57" i="6" s="1"/>
  <c r="X59" i="6"/>
  <c r="Y59" i="6" s="1"/>
  <c r="E10" i="9"/>
  <c r="X43" i="6" s="1"/>
  <c r="Y43" i="6" s="1"/>
  <c r="D25" i="9"/>
  <c r="D22" i="10"/>
  <c r="E22" i="10" s="1"/>
  <c r="X86" i="6" s="1"/>
  <c r="Y86" i="6" s="1"/>
  <c r="D18" i="10"/>
  <c r="D30" i="9"/>
  <c r="D22" i="9"/>
  <c r="D30" i="10"/>
  <c r="E19" i="9"/>
  <c r="X52" i="6" s="1"/>
  <c r="Y52" i="6" s="1"/>
  <c r="E23" i="10"/>
  <c r="X87" i="6" s="1"/>
  <c r="Y87" i="6" s="1"/>
  <c r="E9" i="9"/>
  <c r="X42" i="6" s="1"/>
  <c r="Y42" i="6" s="1"/>
  <c r="E14" i="9"/>
  <c r="X47" i="6" s="1"/>
  <c r="Y47" i="6" s="1"/>
  <c r="D18" i="9"/>
  <c r="D25" i="10"/>
  <c r="X76" i="6"/>
  <c r="Y76" i="6" s="1"/>
  <c r="E11" i="10"/>
  <c r="X75" i="6" s="1"/>
  <c r="Y75" i="6" s="1"/>
  <c r="E29" i="10"/>
  <c r="X93" i="6" s="1"/>
  <c r="Y93" i="6" s="1"/>
  <c r="E35" i="10"/>
  <c r="X99" i="6" s="1"/>
  <c r="Y99" i="6" s="1"/>
  <c r="E32" i="9"/>
  <c r="X65" i="6" s="1"/>
  <c r="Y65" i="6" s="1"/>
  <c r="E21" i="9"/>
  <c r="X54" i="6" s="1"/>
  <c r="Y54" i="6" s="1"/>
  <c r="E35" i="9"/>
  <c r="X68" i="6" s="1"/>
  <c r="Y68" i="6" s="1"/>
  <c r="E30" i="9"/>
  <c r="E22" i="9"/>
  <c r="X55" i="6" s="1"/>
  <c r="Y55" i="6" s="1"/>
  <c r="K10" i="6"/>
  <c r="X63" i="6" l="1"/>
  <c r="Y63" i="6" s="1"/>
  <c r="K72" i="6"/>
  <c r="K41" i="6"/>
  <c r="Q10" i="6"/>
  <c r="E18" i="10"/>
  <c r="X82" i="6" s="1"/>
  <c r="Y82" i="6" s="1"/>
  <c r="E18" i="9"/>
  <c r="E30" i="10"/>
  <c r="X94" i="6" s="1"/>
  <c r="Y94" i="6" s="1"/>
  <c r="E25" i="10"/>
  <c r="X89" i="6" s="1"/>
  <c r="Y89" i="6" s="1"/>
  <c r="E25" i="9"/>
  <c r="X58" i="6" s="1"/>
  <c r="Y58" i="6" s="1"/>
  <c r="X51" i="6"/>
  <c r="Y51" i="6" s="1"/>
  <c r="D8" i="7"/>
  <c r="I10" i="6"/>
  <c r="E9" i="7"/>
  <c r="X11" i="6" s="1"/>
  <c r="Y11" i="6" s="1"/>
  <c r="E12" i="7"/>
  <c r="X14" i="6" s="1"/>
  <c r="Y14" i="6" s="1"/>
  <c r="E21" i="7"/>
  <c r="X23" i="6" s="1"/>
  <c r="Y23" i="6" s="1"/>
  <c r="E19" i="7"/>
  <c r="X21" i="6" s="1"/>
  <c r="Y21" i="6" s="1"/>
  <c r="E16" i="7"/>
  <c r="X18" i="6" s="1"/>
  <c r="Y18" i="6" s="1"/>
  <c r="E13" i="7"/>
  <c r="X15" i="6" s="1"/>
  <c r="Y15" i="6" s="1"/>
  <c r="E18" i="7"/>
  <c r="X20" i="6" s="1"/>
  <c r="Y20" i="6" s="1"/>
  <c r="E25" i="7"/>
  <c r="X27" i="6" s="1"/>
  <c r="Y27" i="6" s="1"/>
  <c r="E14" i="7"/>
  <c r="X16" i="6" s="1"/>
  <c r="Y16" i="6" s="1"/>
  <c r="E33" i="7"/>
  <c r="X35" i="6" s="1"/>
  <c r="Y35" i="6" s="1"/>
  <c r="P10" i="6" l="1"/>
  <c r="Q41" i="6"/>
  <c r="I41" i="6"/>
  <c r="Q72" i="6"/>
  <c r="I72" i="6"/>
  <c r="E8" i="7"/>
  <c r="X10" i="6" s="1"/>
  <c r="J10" i="6"/>
  <c r="O10" i="6" s="1"/>
  <c r="E22" i="7"/>
  <c r="X24" i="6" s="1"/>
  <c r="Y24" i="6" s="1"/>
  <c r="E11" i="7"/>
  <c r="X13" i="6" s="1"/>
  <c r="Y13" i="6" s="1"/>
  <c r="E20" i="7"/>
  <c r="X22" i="6" s="1"/>
  <c r="Y22" i="6" s="1"/>
  <c r="E29" i="7"/>
  <c r="X31" i="6" s="1"/>
  <c r="Y31" i="6" s="1"/>
  <c r="E32" i="7"/>
  <c r="X34" i="6" s="1"/>
  <c r="Y34" i="6" s="1"/>
  <c r="E10" i="7"/>
  <c r="X12" i="6" s="1"/>
  <c r="Y12" i="6" s="1"/>
  <c r="E28" i="7"/>
  <c r="X30" i="6" s="1"/>
  <c r="Y30" i="6" s="1"/>
  <c r="E30" i="7"/>
  <c r="X32" i="6" s="1"/>
  <c r="Y32" i="6" s="1"/>
  <c r="E26" i="7"/>
  <c r="X28" i="6" s="1"/>
  <c r="Y28" i="6" s="1"/>
  <c r="E35" i="7"/>
  <c r="X37" i="6" s="1"/>
  <c r="Y37" i="6" s="1"/>
  <c r="E24" i="7"/>
  <c r="X26" i="6" s="1"/>
  <c r="Y26" i="6" s="1"/>
  <c r="E23" i="7"/>
  <c r="X25" i="6" s="1"/>
  <c r="Y25" i="6" s="1"/>
  <c r="E17" i="7"/>
  <c r="X19" i="6" s="1"/>
  <c r="Y19" i="6" s="1"/>
  <c r="W10" i="6" l="1"/>
  <c r="Y10" i="6" s="1"/>
  <c r="P41" i="6"/>
  <c r="J41" i="6"/>
  <c r="O41" i="6" s="1"/>
  <c r="J72" i="6"/>
  <c r="O72" i="6" s="1"/>
  <c r="W72" i="6"/>
  <c r="P72" i="6"/>
  <c r="N10" i="6"/>
  <c r="N9" i="6" s="1"/>
  <c r="D8" i="9"/>
  <c r="E8" i="9" s="1"/>
  <c r="D8" i="10"/>
  <c r="W41" i="6" l="1"/>
  <c r="N72" i="6"/>
  <c r="N41" i="6"/>
  <c r="E8" i="10"/>
  <c r="X72" i="6" s="1"/>
  <c r="Y72" i="6" s="1"/>
  <c r="X41" i="6"/>
  <c r="Y41" i="6" s="1"/>
</calcChain>
</file>

<file path=xl/sharedStrings.xml><?xml version="1.0" encoding="utf-8"?>
<sst xmlns="http://schemas.openxmlformats.org/spreadsheetml/2006/main" count="1773" uniqueCount="398">
  <si>
    <t>Curso de Pós Graduação Lato Sensu na modalidade à Distância</t>
  </si>
  <si>
    <t>Código</t>
  </si>
  <si>
    <t>Curso</t>
  </si>
  <si>
    <t>Mensalidade</t>
  </si>
  <si>
    <t>Mensalidade a Pagar</t>
  </si>
  <si>
    <t>**Número de  Parcelas</t>
  </si>
  <si>
    <t>*Estímulo Adimplência</t>
  </si>
  <si>
    <t>Gestão Estratégica de Pessoas e Psicologia Organizacional</t>
  </si>
  <si>
    <t xml:space="preserve">Gestão da Qualidade </t>
  </si>
  <si>
    <t>Gestão Empresarial</t>
  </si>
  <si>
    <t>Psicopedagogia</t>
  </si>
  <si>
    <t>Gerenciamento de Projetos de TI com Práticas Alinhadas ao PMI®</t>
  </si>
  <si>
    <t>Controladoria e Finanças</t>
  </si>
  <si>
    <t>Marketing</t>
  </si>
  <si>
    <t>Aconselhamento Pastoral</t>
  </si>
  <si>
    <t>*Estimulo Adimplência</t>
  </si>
  <si>
    <t>Gestão de Projetos com Práticas Alinhadas ao PMI®</t>
  </si>
  <si>
    <t>Logística Empresarial e Supply Chain</t>
  </si>
  <si>
    <t>MBA - Gestão de Varejo</t>
  </si>
  <si>
    <t xml:space="preserve">Gestão Estratégica da Tecnologia da Informação </t>
  </si>
  <si>
    <t xml:space="preserve">Engenharia do Produto Utilizando o Método dos Elementos Finitos </t>
  </si>
  <si>
    <t xml:space="preserve">Direito Educacional </t>
  </si>
  <si>
    <t>Gestão Ambiental</t>
  </si>
  <si>
    <t>Prática de Ensino de Ciências para Educação Infantil e Fundamental I</t>
  </si>
  <si>
    <t>Gestão da Cadeia Produtiva Aeroespacial</t>
  </si>
  <si>
    <t>Gestão de Cidades</t>
  </si>
  <si>
    <t>** A partir da décima terceira parcela, o valor será reajustado conforme Cláusula 12, Parágrafo 1º.</t>
  </si>
  <si>
    <t>Direitos Difusos e Coletivos</t>
  </si>
  <si>
    <r>
      <t xml:space="preserve">Curso de Pós Graduação </t>
    </r>
    <r>
      <rPr>
        <b/>
        <i/>
        <sz val="11"/>
        <rFont val="Arial"/>
        <family val="2"/>
      </rPr>
      <t>Lato Sensu</t>
    </r>
    <r>
      <rPr>
        <b/>
        <sz val="11"/>
        <rFont val="Arial"/>
        <family val="2"/>
      </rPr>
      <t xml:space="preserve"> na modalidade à Distância</t>
    </r>
  </si>
  <si>
    <t>Adimplência</t>
  </si>
  <si>
    <t>Comunicação Empresarial</t>
  </si>
  <si>
    <t>Região</t>
  </si>
  <si>
    <t>Polo</t>
  </si>
  <si>
    <t>ABC e GRU</t>
  </si>
  <si>
    <t>N, NE e CO</t>
  </si>
  <si>
    <t>S e SE</t>
  </si>
  <si>
    <t>Região ABC e Guarulhos</t>
  </si>
  <si>
    <t>Região Norte, Nordeste e Centro-Oeste***</t>
  </si>
  <si>
    <t>*** Região Centro-Oeste - inclui DF</t>
  </si>
  <si>
    <t>*** Região Sudeste - exceto ABC e Guarulhos</t>
  </si>
  <si>
    <t>Região Sul e Sudeste***</t>
  </si>
  <si>
    <t>Mediação e Arbitragem</t>
  </si>
  <si>
    <t>Filosofia da Religião</t>
  </si>
  <si>
    <t>Gestão Inteligente: Liderança, Coaching e Inovação</t>
  </si>
  <si>
    <t>Profetismo Apocalíptico</t>
  </si>
  <si>
    <t>Administração da Produção e Operações</t>
  </si>
  <si>
    <t xml:space="preserve">Gestão de Mídias Digitais </t>
  </si>
  <si>
    <t>Gestão de Conteúdo em Comunicação - Jornalismo</t>
  </si>
  <si>
    <t>Português - Língua e Literatura</t>
  </si>
  <si>
    <t>Relações Trabalhistas e Gestão do Passivo</t>
  </si>
  <si>
    <t>Alagoinhas</t>
  </si>
  <si>
    <t>Andirá</t>
  </si>
  <si>
    <t>Araçatuba</t>
  </si>
  <si>
    <t>Arantina</t>
  </si>
  <si>
    <t>Atibaia</t>
  </si>
  <si>
    <t>Avaré</t>
  </si>
  <si>
    <t>Barbalha</t>
  </si>
  <si>
    <t>Benevides</t>
  </si>
  <si>
    <t>Blumenau</t>
  </si>
  <si>
    <t>Camaquã</t>
  </si>
  <si>
    <t>Campo Grande</t>
  </si>
  <si>
    <t>Cariacica</t>
  </si>
  <si>
    <t>Carlos Barbosa</t>
  </si>
  <si>
    <t>Cascavel</t>
  </si>
  <si>
    <t>Chapecó</t>
  </si>
  <si>
    <t>Cidade Ocidental</t>
  </si>
  <si>
    <t>Cuiabá</t>
  </si>
  <si>
    <t>Curitiba</t>
  </si>
  <si>
    <t>Diadema</t>
  </si>
  <si>
    <t>Dias d ávila</t>
  </si>
  <si>
    <t>Dom Pedrito</t>
  </si>
  <si>
    <t>Dourados</t>
  </si>
  <si>
    <t>Embu-Guaçu</t>
  </si>
  <si>
    <t>Fazenda Rio Grande</t>
  </si>
  <si>
    <t>Formosa</t>
  </si>
  <si>
    <t>Foz do Iguaçu</t>
  </si>
  <si>
    <t>Goiânia</t>
  </si>
  <si>
    <t>Guarantã do Norte</t>
  </si>
  <si>
    <t>Guarapari</t>
  </si>
  <si>
    <t>Horizonte</t>
  </si>
  <si>
    <t>Igarassu</t>
  </si>
  <si>
    <t>Ilhéus</t>
  </si>
  <si>
    <t>Indaiatuba</t>
  </si>
  <si>
    <t>Itumbiara</t>
  </si>
  <si>
    <t>Jaguarão</t>
  </si>
  <si>
    <t>Lapa (São Paulo)</t>
  </si>
  <si>
    <t>Macapá</t>
  </si>
  <si>
    <t>Maceió</t>
  </si>
  <si>
    <t>Marília</t>
  </si>
  <si>
    <t>Mogi das Cruzes</t>
  </si>
  <si>
    <t>Mondaí</t>
  </si>
  <si>
    <t>Montes Claros</t>
  </si>
  <si>
    <t>Mooca (São Paulo)</t>
  </si>
  <si>
    <t>Niterói</t>
  </si>
  <si>
    <t>Nova Friburgo</t>
  </si>
  <si>
    <t>Olímpia</t>
  </si>
  <si>
    <t>Osasco</t>
  </si>
  <si>
    <t>Palmas</t>
  </si>
  <si>
    <t>Parelheiros</t>
  </si>
  <si>
    <t>Passo Fundo</t>
  </si>
  <si>
    <t>Patos de Minas</t>
  </si>
  <si>
    <t>Piracicaba Acipi</t>
  </si>
  <si>
    <t>Realengo</t>
  </si>
  <si>
    <t>Rio de Janeiro</t>
  </si>
  <si>
    <t>Rio Verde</t>
  </si>
  <si>
    <t>Santa Maria</t>
  </si>
  <si>
    <t>Santarém</t>
  </si>
  <si>
    <t>Santo Augusto</t>
  </si>
  <si>
    <t>São Paulo (Av. Paulista)</t>
  </si>
  <si>
    <t>Sapucaia</t>
  </si>
  <si>
    <t>Sete Lagoas</t>
  </si>
  <si>
    <t>Sobral</t>
  </si>
  <si>
    <t>SP Jabaquara</t>
  </si>
  <si>
    <t>SP Santo Amaro</t>
  </si>
  <si>
    <t>Taubaté</t>
  </si>
  <si>
    <t>Teresópolis</t>
  </si>
  <si>
    <t>Tucuruí</t>
  </si>
  <si>
    <t>Uberaba</t>
  </si>
  <si>
    <t>Uruguaiana</t>
  </si>
  <si>
    <t>UF</t>
  </si>
  <si>
    <t>Anápolis</t>
  </si>
  <si>
    <t>Centro-Oeste</t>
  </si>
  <si>
    <t>GO</t>
  </si>
  <si>
    <t>Arapongas</t>
  </si>
  <si>
    <t>Sul</t>
  </si>
  <si>
    <t>PR</t>
  </si>
  <si>
    <t>Belém</t>
  </si>
  <si>
    <t>Norte</t>
  </si>
  <si>
    <t>PA</t>
  </si>
  <si>
    <t>Boa Vista</t>
  </si>
  <si>
    <t>RR</t>
  </si>
  <si>
    <t>Sudeste</t>
  </si>
  <si>
    <t>ES</t>
  </si>
  <si>
    <t>MT</t>
  </si>
  <si>
    <t>SP</t>
  </si>
  <si>
    <t>MS</t>
  </si>
  <si>
    <t>Foz do Iguaçú</t>
  </si>
  <si>
    <t>Japeri</t>
  </si>
  <si>
    <t>RJ</t>
  </si>
  <si>
    <t>João Pessoa</t>
  </si>
  <si>
    <t>Nordeste</t>
  </si>
  <si>
    <t>PB</t>
  </si>
  <si>
    <t>Juiz de Fora</t>
  </si>
  <si>
    <t>MG</t>
  </si>
  <si>
    <t>AL</t>
  </si>
  <si>
    <t>Mossoró</t>
  </si>
  <si>
    <t>RN</t>
  </si>
  <si>
    <t>Natal</t>
  </si>
  <si>
    <t>RS</t>
  </si>
  <si>
    <t>Piracicaba Centro</t>
  </si>
  <si>
    <t>Piracicaba Taquaral</t>
  </si>
  <si>
    <t>Planalto</t>
  </si>
  <si>
    <t>Porto Alegre</t>
  </si>
  <si>
    <t>Santa Bárbara D'Oeste</t>
  </si>
  <si>
    <t>CE</t>
  </si>
  <si>
    <t>Vergueiro</t>
  </si>
  <si>
    <t>São Paulo</t>
  </si>
  <si>
    <t>Bertioga</t>
  </si>
  <si>
    <t>Itapeva</t>
  </si>
  <si>
    <t>Mauá</t>
  </si>
  <si>
    <t>São José dos Campos</t>
  </si>
  <si>
    <t>SP-POLO LAPA</t>
  </si>
  <si>
    <t>SP - AV. PAULISTA</t>
  </si>
  <si>
    <t>SP-MOOCA</t>
  </si>
  <si>
    <t>Polo SP Parelheiros</t>
  </si>
  <si>
    <t>POLO TAUBATÉ</t>
  </si>
  <si>
    <t xml:space="preserve">Guaratinguetá </t>
  </si>
  <si>
    <t>Araras</t>
  </si>
  <si>
    <t>Presidente Prudente</t>
  </si>
  <si>
    <t>Ribeirão Preto</t>
  </si>
  <si>
    <t xml:space="preserve">Lins </t>
  </si>
  <si>
    <t>Birigui</t>
  </si>
  <si>
    <t>Bauru</t>
  </si>
  <si>
    <t>Guarulhos</t>
  </si>
  <si>
    <t>Santos</t>
  </si>
  <si>
    <t xml:space="preserve">Cajamar </t>
  </si>
  <si>
    <t>Itapevi</t>
  </si>
  <si>
    <t>Itanhaem</t>
  </si>
  <si>
    <t>São José do Rio Preto</t>
  </si>
  <si>
    <t>Campinas</t>
  </si>
  <si>
    <t>Eldorado</t>
  </si>
  <si>
    <t>Franca</t>
  </si>
  <si>
    <t>Sorocaba</t>
  </si>
  <si>
    <t>Piracicaba</t>
  </si>
  <si>
    <t>Iracemápolis</t>
  </si>
  <si>
    <t xml:space="preserve">Marília </t>
  </si>
  <si>
    <t>Votuporanga</t>
  </si>
  <si>
    <t>Mogi Das Cruzes</t>
  </si>
  <si>
    <t>Limeira</t>
  </si>
  <si>
    <t>Jandira</t>
  </si>
  <si>
    <t>Barretos</t>
  </si>
  <si>
    <t xml:space="preserve">Atibaia </t>
  </si>
  <si>
    <t>Bragança Paulista</t>
  </si>
  <si>
    <t>Ourinhos</t>
  </si>
  <si>
    <t>Rondonia - RO</t>
  </si>
  <si>
    <t>Porto Velho</t>
  </si>
  <si>
    <t>Vilhena</t>
  </si>
  <si>
    <t xml:space="preserve">Ariquemes </t>
  </si>
  <si>
    <t>Minas Gerais</t>
  </si>
  <si>
    <t>Belo Horizonte - Venda Nova</t>
  </si>
  <si>
    <t>BH - Pça Liberdade</t>
  </si>
  <si>
    <t>Patrocínio</t>
  </si>
  <si>
    <t>Betim</t>
  </si>
  <si>
    <t>Contagem</t>
  </si>
  <si>
    <t>Ipatinga</t>
  </si>
  <si>
    <t>Ouro Branco</t>
  </si>
  <si>
    <t>Pouso Alegre</t>
  </si>
  <si>
    <t>Petrópolis</t>
  </si>
  <si>
    <t>Macaé</t>
  </si>
  <si>
    <t>RJ - Realemgo</t>
  </si>
  <si>
    <t>Volta Redonda</t>
  </si>
  <si>
    <t>Itaboraí</t>
  </si>
  <si>
    <t>Resende</t>
  </si>
  <si>
    <t>São Gonçalo</t>
  </si>
  <si>
    <t>Campos dos Goytacazes</t>
  </si>
  <si>
    <t>Itaguaí</t>
  </si>
  <si>
    <t>Paraná</t>
  </si>
  <si>
    <t>Londrina</t>
  </si>
  <si>
    <t>Cascavél</t>
  </si>
  <si>
    <t>Paranaguá</t>
  </si>
  <si>
    <t>Ponta Grossa</t>
  </si>
  <si>
    <t>Bandeirantes</t>
  </si>
  <si>
    <t>Santo Antônio da Platina</t>
  </si>
  <si>
    <t>Telemaco Borba</t>
  </si>
  <si>
    <t>Bahia</t>
  </si>
  <si>
    <t xml:space="preserve">Itabuna </t>
  </si>
  <si>
    <t>Salvador</t>
  </si>
  <si>
    <t>Vitória da Conquista</t>
  </si>
  <si>
    <t>Conceição do Coité</t>
  </si>
  <si>
    <t>Feira de Santana</t>
  </si>
  <si>
    <t>Dias D' Àvila</t>
  </si>
  <si>
    <t>Palmas de Monte Alto</t>
  </si>
  <si>
    <t>Distrito Federal</t>
  </si>
  <si>
    <t>Brasília</t>
  </si>
  <si>
    <t xml:space="preserve">Goias </t>
  </si>
  <si>
    <t>Minaçu</t>
  </si>
  <si>
    <t>Maranhão</t>
  </si>
  <si>
    <t>Imperatriz</t>
  </si>
  <si>
    <t>São Luiz</t>
  </si>
  <si>
    <t xml:space="preserve">Pará </t>
  </si>
  <si>
    <t>Altamira</t>
  </si>
  <si>
    <t>Belém 1</t>
  </si>
  <si>
    <t>Marabá</t>
  </si>
  <si>
    <t>Paraupebas</t>
  </si>
  <si>
    <t>Bragança</t>
  </si>
  <si>
    <t>Breves</t>
  </si>
  <si>
    <t xml:space="preserve">Santana do Araguaia </t>
  </si>
  <si>
    <t>Ceará</t>
  </si>
  <si>
    <t>Fortaleza</t>
  </si>
  <si>
    <t>Paraíba</t>
  </si>
  <si>
    <t>Campina Grande</t>
  </si>
  <si>
    <t>Mato Grosso Sul</t>
  </si>
  <si>
    <t>Rondonópolis</t>
  </si>
  <si>
    <t>Campo Grande 1</t>
  </si>
  <si>
    <t>Sete Quedas</t>
  </si>
  <si>
    <t>Rio Grande do Sul</t>
  </si>
  <si>
    <t>Rio Grande do sul</t>
  </si>
  <si>
    <t>Espírito Santo</t>
  </si>
  <si>
    <t>Vila Velha</t>
  </si>
  <si>
    <t>Serra</t>
  </si>
  <si>
    <t>Vitória</t>
  </si>
  <si>
    <t>Pernambuco</t>
  </si>
  <si>
    <t>Recife</t>
  </si>
  <si>
    <t>Alagoas - AL</t>
  </si>
  <si>
    <t>Arapiraca</t>
  </si>
  <si>
    <t>Delmiro Gouveia</t>
  </si>
  <si>
    <t xml:space="preserve">Santana do Ipanema </t>
  </si>
  <si>
    <t>UNIÃO DOS PALMARES</t>
  </si>
  <si>
    <t xml:space="preserve">Manaus - AM </t>
  </si>
  <si>
    <t>Manaus</t>
  </si>
  <si>
    <t>Mato Grosso</t>
  </si>
  <si>
    <t>Mutum</t>
  </si>
  <si>
    <t>Tangará da Serra</t>
  </si>
  <si>
    <t>Piauí - PI</t>
  </si>
  <si>
    <t>Teresina</t>
  </si>
  <si>
    <t>Rio Grande do Norte</t>
  </si>
  <si>
    <t>Roraima - RR</t>
  </si>
  <si>
    <t>Santa Catarina -SC</t>
  </si>
  <si>
    <t>Porto Belo</t>
  </si>
  <si>
    <t>Navegantes</t>
  </si>
  <si>
    <t>Rio do Sul</t>
  </si>
  <si>
    <t>Taió</t>
  </si>
  <si>
    <t>Sombrio</t>
  </si>
  <si>
    <t>Acre</t>
  </si>
  <si>
    <t>Rio Branco</t>
  </si>
  <si>
    <t>Amapá</t>
  </si>
  <si>
    <t>TO - Tocantis</t>
  </si>
  <si>
    <t>AP</t>
  </si>
  <si>
    <t>PE</t>
  </si>
  <si>
    <t>BA</t>
  </si>
  <si>
    <t>TO</t>
  </si>
  <si>
    <t>Ceres</t>
  </si>
  <si>
    <t>Vitória Da Conquista</t>
  </si>
  <si>
    <t>Guaratinguetá</t>
  </si>
  <si>
    <t>Itanhaém</t>
  </si>
  <si>
    <t>Lins</t>
  </si>
  <si>
    <t>São José Do Rio Preto</t>
  </si>
  <si>
    <t>São José Dos Campos</t>
  </si>
  <si>
    <t>SC</t>
  </si>
  <si>
    <t>Grupo_Região</t>
  </si>
  <si>
    <t>DF</t>
  </si>
  <si>
    <t>Santa Bárbara do Oeste</t>
  </si>
  <si>
    <t>Dias D Ávila</t>
  </si>
  <si>
    <t>Foz Do Iguaçu</t>
  </si>
  <si>
    <t>Guaianazes (São Paulo)</t>
  </si>
  <si>
    <t>Guarantã Do Norte</t>
  </si>
  <si>
    <t>Patos De Minas</t>
  </si>
  <si>
    <t>Perus (São Paulo)</t>
  </si>
  <si>
    <t>Rio De Janeiro</t>
  </si>
  <si>
    <t>Rudge Ramos (S. B. Campo)</t>
  </si>
  <si>
    <t>Sp Jabaquara</t>
  </si>
  <si>
    <t>Sp Santo Amaro</t>
  </si>
  <si>
    <t>MA</t>
  </si>
  <si>
    <t>RO</t>
  </si>
  <si>
    <t>Total Geral</t>
  </si>
  <si>
    <t>N, NE e CO Total</t>
  </si>
  <si>
    <t>S e SE Total</t>
  </si>
  <si>
    <t>ABC e GRU Total</t>
  </si>
  <si>
    <t>Valor com Margem 55%</t>
  </si>
  <si>
    <t>Mensalidade Bruta</t>
  </si>
  <si>
    <t>Mensalidade Estímulo a Adimplência</t>
  </si>
  <si>
    <t>Margem</t>
  </si>
  <si>
    <t>Valor Proposto *</t>
  </si>
  <si>
    <t>* Valores para região do ABC. Será aplicado 20% de desconto para região N,NE e CO, e 10% para região S e SE</t>
  </si>
  <si>
    <t>Preços vigentes para ingresso no ano de 2017</t>
  </si>
  <si>
    <t>Preços 2017 - Região ABC e GRU</t>
  </si>
  <si>
    <t>Preços 2017 - Região S e SE</t>
  </si>
  <si>
    <t>Check Mensalidade Líquida</t>
  </si>
  <si>
    <t>Check Adimplência</t>
  </si>
  <si>
    <t>Check Reajuste Mensalidade</t>
  </si>
  <si>
    <t>Check Reajuste Valor a Pagar</t>
  </si>
  <si>
    <t>Check Edital 2017</t>
  </si>
  <si>
    <t>Check Edital 2018</t>
  </si>
  <si>
    <t>Preços 2017 - Região N, NE e CO</t>
  </si>
  <si>
    <t>90% da Região ABC e GRU</t>
  </si>
  <si>
    <t>80% da Região ABC e GRU</t>
  </si>
  <si>
    <t>PREÇOS 2018</t>
  </si>
  <si>
    <t>REAJUSTE 2018</t>
  </si>
  <si>
    <t>Preços vigentes para ingresso em 2018</t>
  </si>
  <si>
    <t>São Bernardo do Campo, 12 de setembro de 2017.</t>
  </si>
  <si>
    <t>Robson Ramos de Aguiar</t>
  </si>
  <si>
    <t>Diretor Geral</t>
  </si>
  <si>
    <t>Região Metropolitana de SP</t>
  </si>
  <si>
    <t>Sudeste e Sul</t>
  </si>
  <si>
    <t>Centro-Oeste, Nordeste e Norte</t>
  </si>
  <si>
    <t>Bacharelados e Licenciaturas EAD</t>
  </si>
  <si>
    <t>Tecnólogos e Segundas Licenciaturas EAD</t>
  </si>
  <si>
    <t>Pós-Graduação Lato Sensu EAD</t>
  </si>
  <si>
    <t>Caro Robson e colegas, boa noite.</t>
  </si>
  <si>
    <t>1. Quanto aos cursos EAD, todos os PPC serão alterados conforme encaminhamento da Reitoria da Umesp hoje – inserção de unidades curriculares em inglês e espanhol. Isso nos dá a base necessária para alteração do preço e fim do desconto institucional para ingressantes 2018/1.</t>
  </si>
  <si>
    <t>2. Após cadastramento de novos preços, os descontos permitidos para ingressantes EAD 2018/1 são exclusivamente os de catálogo, conforme já orientado pela Direção Geral.</t>
  </si>
  <si>
    <t>3. Tendo em vista a regionalização da precificação da EAD, a Direção Geral orientou os preços já com desconto de adimplência como segue:</t>
  </si>
  <si>
    <t>R$ 320,00</t>
  </si>
  <si>
    <t>R$ 290,00</t>
  </si>
  <si>
    <t>R$ 270,00</t>
  </si>
  <si>
    <t>R$ 260,00</t>
  </si>
  <si>
    <t>R$ 250,00</t>
  </si>
  <si>
    <t>4. O cadastramento dos preços pela equipe da Agata é um primeiro passo importante.</t>
  </si>
  <si>
    <t>5. A equipe da Cidinha precisa providenciar o cadastramento no Logos para liberação das inscrições do processo seletivo.</t>
  </si>
  <si>
    <t>6. A equipe do Ronilson precisa cuidas das informações nos sites e no SGPS.</t>
  </si>
  <si>
    <t>7. Quanto aos cursos híbridos, por enquanto restritos ao Campus Vergueiro e aos tecnólogos apresentados, terão uma reunião já convocada pela Reitoria da Umesp, a ser realizada no dia 25/09/2017.</t>
  </si>
  <si>
    <t>8. É importante que a liberação das inscrições para o processo seletivo dos cursos EAD seja liberada ainda esta semana. Isso independe das decisões relativas aos cursos híbridos.</t>
  </si>
  <si>
    <t>9. Atenção: os novos preços aqui apresentados são exclusivamente para ingressantes 2018/1.</t>
  </si>
  <si>
    <t>Comportamento do Consumidor e Pesquisa de Mercado</t>
  </si>
  <si>
    <t>Educação Cristã</t>
  </si>
  <si>
    <t>Gestão de e-Commerce</t>
  </si>
  <si>
    <t>Gestão de Educação a Distância</t>
  </si>
  <si>
    <t>Gestão de Educação a Distância  Acadêmica e Educação Corporativa</t>
  </si>
  <si>
    <t>Gestão de Negócios Imobiliários</t>
  </si>
  <si>
    <t>Gestão de Riscos Corporativos</t>
  </si>
  <si>
    <t>Gestão de Risco em Seguros</t>
  </si>
  <si>
    <t>Gestão Escolar</t>
  </si>
  <si>
    <t>Governança Corporativa e Controles Internos</t>
  </si>
  <si>
    <t>Metodologias Ativas de Aprendizagem</t>
  </si>
  <si>
    <t>Pós-Graduação em Extensão Universitária</t>
  </si>
  <si>
    <t>Novo</t>
  </si>
  <si>
    <t>1ª Entrada 18-1</t>
  </si>
  <si>
    <t>Alfabetização e Letramento</t>
  </si>
  <si>
    <t>Reajuste</t>
  </si>
  <si>
    <t>Valor</t>
  </si>
  <si>
    <t>PLA</t>
  </si>
  <si>
    <t>PLA LATO SENSU EAD</t>
  </si>
  <si>
    <t>Economia Circular</t>
  </si>
  <si>
    <t>Economia Criativa</t>
  </si>
  <si>
    <t>Economia Solidária</t>
  </si>
  <si>
    <t>Economia da Longevidade</t>
  </si>
  <si>
    <t>Farmacoeconomia</t>
  </si>
  <si>
    <t>IFRS - Normas Internacionais de Contabilidade</t>
  </si>
  <si>
    <t>Inteligência estratégica em Gestão de Condomínios</t>
  </si>
  <si>
    <t>Coragem de pensar e fazer o bem ética teológica para hoje</t>
  </si>
  <si>
    <t>Educação Especial e Inclusiva</t>
  </si>
  <si>
    <t>Educação para a Diversidade e Cidadania</t>
  </si>
  <si>
    <t>Empreendedorismo e Marketing Digital</t>
  </si>
  <si>
    <t>Empreendedorismo em Games e Gamificação</t>
  </si>
  <si>
    <t>Gestão em Educação - Direção e Coordenação Pedagógica</t>
  </si>
  <si>
    <t>Inovação e Tecnologias Digitais na Educação</t>
  </si>
  <si>
    <t>Administração Hospitalar</t>
  </si>
  <si>
    <t>Pet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</si>
</sst>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_ * #,##0.00_ ;_ * \-#,##0.00_ ;_ * &quot;-&quot;??_ ;_ @_ "/>
    <numFmt numFmtId="166" formatCode="0.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i/>
      <sz val="11"/>
      <name val="Arial"/>
      <family val="2"/>
    </font>
    <font>
      <b/>
      <u/>
      <sz val="9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EECE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8" fillId="0" borderId="0"/>
    <xf numFmtId="43" fontId="2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 applyProtection="1">
      <alignment horizontal="center" vertical="center" wrapText="1"/>
      <protection hidden="1"/>
    </xf>
    <xf numFmtId="0" fontId="3" fillId="2" borderId="0" xfId="0" applyNumberFormat="1" applyFont="1" applyFill="1" applyAlignment="1" applyProtection="1">
      <alignment horizontal="left" vertical="center" wrapText="1"/>
      <protection hidden="1"/>
    </xf>
    <xf numFmtId="4" fontId="4" fillId="2" borderId="0" xfId="1" applyNumberFormat="1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 wrapText="1"/>
    </xf>
    <xf numFmtId="165" fontId="2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vertical="center"/>
      <protection hidden="1"/>
    </xf>
    <xf numFmtId="49" fontId="9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/>
    </xf>
    <xf numFmtId="49" fontId="2" fillId="2" borderId="0" xfId="0" applyNumberFormat="1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" fontId="2" fillId="2" borderId="0" xfId="0" applyNumberFormat="1" applyFont="1" applyFill="1" applyAlignment="1" applyProtection="1">
      <alignment vertical="center" wrapText="1"/>
      <protection hidden="1"/>
    </xf>
    <xf numFmtId="164" fontId="6" fillId="2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164" fontId="3" fillId="4" borderId="0" xfId="1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vertical="center"/>
    </xf>
    <xf numFmtId="4" fontId="3" fillId="4" borderId="0" xfId="1" applyNumberFormat="1" applyFont="1" applyFill="1" applyBorder="1" applyAlignment="1" applyProtection="1">
      <alignment horizontal="center" vertical="center" wrapText="1"/>
      <protection hidden="1"/>
    </xf>
    <xf numFmtId="1" fontId="3" fillId="4" borderId="0" xfId="1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2" fillId="4" borderId="1" xfId="0" applyNumberFormat="1" applyFont="1" applyFill="1" applyBorder="1" applyAlignment="1">
      <alignment vertical="center"/>
    </xf>
    <xf numFmtId="4" fontId="9" fillId="2" borderId="0" xfId="0" applyNumberFormat="1" applyFont="1" applyFill="1" applyAlignment="1" applyProtection="1">
      <alignment horizontal="right" vertical="center"/>
      <protection hidden="1"/>
    </xf>
    <xf numFmtId="164" fontId="2" fillId="4" borderId="1" xfId="1" applyNumberFormat="1" applyFont="1" applyFill="1" applyBorder="1" applyAlignment="1">
      <alignment horizontal="center" vertical="center"/>
    </xf>
    <xf numFmtId="4" fontId="2" fillId="4" borderId="1" xfId="1" applyNumberFormat="1" applyFont="1" applyFill="1" applyBorder="1" applyAlignment="1" applyProtection="1">
      <alignment horizontal="right" vertical="center" wrapText="1"/>
      <protection hidden="1"/>
    </xf>
    <xf numFmtId="1" fontId="2" fillId="4" borderId="1" xfId="1" applyNumberFormat="1" applyFont="1" applyFill="1" applyBorder="1" applyAlignment="1" applyProtection="1">
      <alignment horizontal="right" vertical="center" wrapText="1"/>
      <protection hidden="1"/>
    </xf>
    <xf numFmtId="164" fontId="12" fillId="3" borderId="1" xfId="1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  <protection hidden="1"/>
    </xf>
    <xf numFmtId="165" fontId="12" fillId="3" borderId="1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164" fontId="7" fillId="4" borderId="0" xfId="0" applyNumberFormat="1" applyFont="1" applyFill="1" applyAlignment="1">
      <alignment horizontal="center" vertical="center" wrapText="1"/>
    </xf>
    <xf numFmtId="0" fontId="12" fillId="6" borderId="1" xfId="1" applyNumberFormat="1" applyFont="1" applyFill="1" applyBorder="1" applyAlignment="1" applyProtection="1">
      <alignment horizontal="center" vertical="center" wrapText="1"/>
      <protection hidden="1"/>
    </xf>
    <xf numFmtId="4" fontId="2" fillId="2" borderId="1" xfId="1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2" borderId="1" xfId="1" applyNumberFormat="1" applyFont="1" applyFill="1" applyBorder="1" applyAlignment="1" applyProtection="1">
      <alignment horizontal="right" vertical="center"/>
      <protection hidden="1"/>
    </xf>
    <xf numFmtId="165" fontId="12" fillId="3" borderId="1" xfId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vertical="center" wrapText="1"/>
    </xf>
    <xf numFmtId="1" fontId="0" fillId="0" borderId="1" xfId="0" applyNumberFormat="1" applyBorder="1" applyAlignment="1">
      <alignment vertical="center"/>
    </xf>
    <xf numFmtId="10" fontId="8" fillId="4" borderId="1" xfId="5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Alignment="1">
      <alignment vertical="center" wrapText="1"/>
    </xf>
    <xf numFmtId="0" fontId="2" fillId="0" borderId="0" xfId="0" applyFont="1"/>
    <xf numFmtId="10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0" fontId="2" fillId="2" borderId="0" xfId="2" applyNumberFormat="1" applyFont="1" applyFill="1" applyBorder="1" applyAlignment="1">
      <alignment vertical="center" wrapText="1"/>
    </xf>
    <xf numFmtId="10" fontId="0" fillId="4" borderId="0" xfId="2" applyNumberFormat="1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17" fillId="0" borderId="0" xfId="7" applyFont="1"/>
    <xf numFmtId="0" fontId="17" fillId="0" borderId="5" xfId="7" applyFont="1" applyBorder="1"/>
    <xf numFmtId="0" fontId="10" fillId="0" borderId="0" xfId="0" applyFont="1"/>
    <xf numFmtId="4" fontId="10" fillId="4" borderId="0" xfId="0" applyNumberFormat="1" applyFont="1" applyFill="1" applyAlignment="1">
      <alignment vertical="center"/>
    </xf>
    <xf numFmtId="4" fontId="0" fillId="4" borderId="0" xfId="0" applyNumberFormat="1" applyFill="1"/>
    <xf numFmtId="0" fontId="17" fillId="0" borderId="7" xfId="7" applyFont="1" applyBorder="1"/>
    <xf numFmtId="0" fontId="0" fillId="0" borderId="0" xfId="0" pivotButton="1"/>
    <xf numFmtId="0" fontId="20" fillId="7" borderId="5" xfId="7" applyFont="1" applyFill="1" applyBorder="1"/>
    <xf numFmtId="0" fontId="17" fillId="0" borderId="8" xfId="7" applyFont="1" applyBorder="1"/>
    <xf numFmtId="0" fontId="17" fillId="0" borderId="5" xfId="7" applyFont="1" applyBorder="1" applyAlignment="1">
      <alignment horizontal="center"/>
    </xf>
    <xf numFmtId="0" fontId="17" fillId="0" borderId="5" xfId="7" applyFont="1" applyBorder="1" applyAlignment="1">
      <alignment horizontal="center" vertical="center"/>
    </xf>
    <xf numFmtId="0" fontId="17" fillId="0" borderId="8" xfId="7" applyFont="1" applyBorder="1" applyAlignment="1">
      <alignment horizontal="center" vertical="center"/>
    </xf>
    <xf numFmtId="0" fontId="17" fillId="0" borderId="7" xfId="7" applyFont="1" applyBorder="1" applyAlignment="1">
      <alignment horizontal="center" vertical="center"/>
    </xf>
    <xf numFmtId="0" fontId="21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9" fontId="18" fillId="0" borderId="1" xfId="0" applyNumberFormat="1" applyFont="1" applyBorder="1" applyAlignment="1">
      <alignment horizontal="right" vertical="center" wrapText="1"/>
    </xf>
    <xf numFmtId="0" fontId="19" fillId="0" borderId="6" xfId="0" applyFont="1" applyBorder="1"/>
    <xf numFmtId="165" fontId="18" fillId="0" borderId="1" xfId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4" fontId="2" fillId="2" borderId="0" xfId="0" applyNumberFormat="1" applyFont="1" applyFill="1" applyAlignment="1" applyProtection="1">
      <alignment horizontal="right" vertical="center"/>
      <protection hidden="1"/>
    </xf>
    <xf numFmtId="3" fontId="2" fillId="4" borderId="1" xfId="1" applyNumberFormat="1" applyFont="1" applyFill="1" applyBorder="1" applyAlignment="1" applyProtection="1">
      <alignment horizontal="right" vertical="center" wrapText="1"/>
      <protection hidden="1"/>
    </xf>
    <xf numFmtId="0" fontId="8" fillId="4" borderId="0" xfId="0" applyFont="1" applyFill="1" applyBorder="1" applyAlignment="1">
      <alignment horizontal="center" vertical="center"/>
    </xf>
    <xf numFmtId="10" fontId="8" fillId="4" borderId="0" xfId="5" applyNumberFormat="1" applyFont="1" applyFill="1" applyBorder="1" applyAlignment="1" applyProtection="1">
      <alignment horizontal="center" vertical="center"/>
      <protection hidden="1"/>
    </xf>
    <xf numFmtId="49" fontId="9" fillId="10" borderId="0" xfId="0" applyNumberFormat="1" applyFont="1" applyFill="1" applyAlignment="1" applyProtection="1">
      <alignment horizontal="center" vertical="center"/>
      <protection hidden="1"/>
    </xf>
    <xf numFmtId="164" fontId="22" fillId="10" borderId="0" xfId="0" applyNumberFormat="1" applyFont="1" applyFill="1" applyAlignment="1">
      <alignment vertical="center" wrapText="1"/>
    </xf>
    <xf numFmtId="4" fontId="9" fillId="10" borderId="0" xfId="0" applyNumberFormat="1" applyFont="1" applyFill="1" applyAlignment="1" applyProtection="1">
      <alignment horizontal="right" vertical="center"/>
      <protection hidden="1"/>
    </xf>
    <xf numFmtId="0" fontId="0" fillId="10" borderId="0" xfId="0" applyFill="1"/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1" fontId="2" fillId="0" borderId="1" xfId="0" applyNumberFormat="1" applyFont="1" applyBorder="1" applyAlignment="1">
      <alignment vertical="center"/>
    </xf>
    <xf numFmtId="165" fontId="0" fillId="4" borderId="0" xfId="1" applyFont="1" applyFill="1" applyAlignment="1">
      <alignment vertical="center"/>
    </xf>
    <xf numFmtId="4" fontId="2" fillId="10" borderId="0" xfId="0" applyNumberFormat="1" applyFont="1" applyFill="1" applyAlignment="1" applyProtection="1">
      <alignment horizontal="left" vertical="center"/>
      <protection hidden="1"/>
    </xf>
    <xf numFmtId="0" fontId="0" fillId="10" borderId="0" xfId="0" applyFill="1" applyAlignment="1">
      <alignment vertical="center"/>
    </xf>
    <xf numFmtId="165" fontId="0" fillId="10" borderId="0" xfId="0" applyNumberFormat="1" applyFill="1"/>
    <xf numFmtId="0" fontId="23" fillId="0" borderId="9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indent="1"/>
    </xf>
    <xf numFmtId="0" fontId="2" fillId="4" borderId="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right" vertical="center" wrapText="1"/>
    </xf>
    <xf numFmtId="0" fontId="26" fillId="11" borderId="1" xfId="0" applyFont="1" applyFill="1" applyBorder="1" applyAlignment="1">
      <alignment vertical="center"/>
    </xf>
    <xf numFmtId="165" fontId="0" fillId="0" borderId="1" xfId="1" applyFont="1" applyBorder="1"/>
    <xf numFmtId="10" fontId="0" fillId="0" borderId="1" xfId="0" applyNumberFormat="1" applyBorder="1"/>
    <xf numFmtId="0" fontId="0" fillId="0" borderId="1" xfId="0" applyBorder="1"/>
    <xf numFmtId="0" fontId="22" fillId="0" borderId="1" xfId="0" applyFont="1" applyBorder="1"/>
    <xf numFmtId="43" fontId="0" fillId="0" borderId="0" xfId="0" applyNumberFormat="1"/>
    <xf numFmtId="166" fontId="0" fillId="0" borderId="0" xfId="2" applyNumberFormat="1" applyFont="1"/>
    <xf numFmtId="164" fontId="11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wrapText="1"/>
    </xf>
    <xf numFmtId="0" fontId="14" fillId="4" borderId="0" xfId="0" applyFont="1" applyFill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</cellXfs>
  <cellStyles count="10">
    <cellStyle name="Normal" xfId="0" builtinId="0"/>
    <cellStyle name="Normal 2" xfId="6"/>
    <cellStyle name="Normal 2 2" xfId="7"/>
    <cellStyle name="Normal 4" xfId="8"/>
    <cellStyle name="Porcentagem" xfId="2" builtinId="5"/>
    <cellStyle name="Porcentagem 2" xfId="4"/>
    <cellStyle name="Porcentagem 3 2" xfId="5"/>
    <cellStyle name="Separador de milhares 2" xfId="3"/>
    <cellStyle name="Vírgula" xfId="1" builtinId="3"/>
    <cellStyle name="Vírgula 2" xfId="9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pivotCacheDefinition" Target="pivotCache/pivotCacheDefinition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9%20Rela&#231;&#245;es%20Trabalhistas%20e%20Gest&#227;o%20do%20Passivo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Gest&#227;o%20Escolar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5%20Governan&#231;a%20Corporativa%20e%20Controles%20internos-%20Lato%20Sensu%20EAD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30%20Metodologias%20Ativas%20de%20Aprendizage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9%20P&#243;s-Gradua&#231;&#227;o%20em%20Extens&#227;o%20Universit&#225;ria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Economia%20Circular%20EAD%20PP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Economia%20Criativa%20EAD%20PP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Economia%20Solid&#225;ria%20EAD%20PP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Economia%20da%20Longevidade%20EAD%20PP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Farmacoeconomia%20EAD%20PP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IFRS%20-%20Normas%20Internacionais%20de%20Contabilidade%20EAD%20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5%20Comportamento%20do%20Consumidor%20e%20Pesquisa%20de%20Mercado%20Lato%20Sensu%20EAD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GD%20-%20Intelig&#234;ncia%20estrat&#233;gica%20em%20Gest&#227;o%20de%20Condom&#237;nios%20EAD%20PP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Coragem%20de%20pensar%20e%20fazer%20o%20bem%20&#233;tica%20teol&#243;gica%20para%20hoje%20EAD%20PP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Educa&#231;&#227;o%20Especial%20e%20Inclusiva%20EAD%20PP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Educa&#231;&#227;o%20para%20a%20Diversidade%20e%20Cidadania%20EAD%20PP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Empreendedorismo%20e%20Marketing%20Digital%20EAD%20PP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Empreendedorismo%20em%20Games%20e%20Gamifica&#231;&#227;o%20EAD%20PP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Gest&#227;o%20em%20Educa&#231;&#227;o%20-%20Dire&#231;&#227;o%20e%20Coordena&#231;&#227;o%20Pedag&#243;gica%20EAD%20PP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EH%20-%20Inova&#231;&#227;o%20e%20Tecnologias%20Digitais%20na%20Educa&#231;&#227;o%20EAD%20PP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MS%20-%20Administra&#231;&#227;o%20Hospitalar%20EAD%20PP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ECMS%20-%20Pet%20Business%20EAD%20PP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9%20Educa&#231;&#227;o%20Crist&#227;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7\Editais\Edital%20-%20IMS%20-%20Lato%20Sensu%20EAD%20-%203&#170;%20Entrada-%20%202S2017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7\06%20Lato%20Sensu%20EAD\1&#170;%20Entrada_Mar&#231;o_1S2017\Or&#231;amento%20-%20Filosofia%20da%20Religi&#227;o%20EAD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7\06%20Lato%20Sensu%20EAD\1&#170;%20Entrada_Mar&#231;o_1S2017\Or&#231;amento%20-%20Gest&#227;o%20Inteligente%20Lideran&#231;a%20Coaching%20&amp;%20Inova&#231;&#227;o%20EAD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7\06%20Lato%20Sensu%20EAD\1&#170;%20Entrada_Mar&#231;o_1S2017\Or&#231;amento%20-%20Profetismo%20Apocal&#237;ptico%20E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9%20Gest&#227;o%20de%20e-Commerc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9%20P&#243;s-Gradua&#231;&#227;o%20em%20Gest&#227;o%20de%20Educa&#231;&#227;o%20a%20Dist&#226;nci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9%20Gest&#227;o%20de%20Educa&#231;&#227;o%20a%20Dist&#226;ncia%20%20Acad&#234;mica%20e%20Educa&#231;&#227;o%20Corporativa%20(EAD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Gest&#227;o%20de%20Neg&#243;cios%20Imobili&#225;rio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20170525%20Gest&#227;o%20de%20Riscos%20corporativo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4%20Gerencia%20Financeira\11%20Or&#231;amento%20de%20Cursos\2018\06%20Lato%20Sensu%20EAD\Gest&#227;o%20de%20Risco%20em%20Segu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0.40349355681956867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0.39491276084154592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0.39491276084154592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0.39491276084154592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0.39491276084154592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0.39491276084154592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0.39491276084154592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 2017 - Região N, NE e CO"/>
      <sheetName val="Preços 2017 - Região S e SE"/>
      <sheetName val="Preços 2017 - Região ABC e GRU"/>
      <sheetName val="Cálc. Reaj. 2017 - Mensal. 2016"/>
      <sheetName val="Plan3"/>
      <sheetName val="Regiões x Polos"/>
      <sheetName val="Plan1"/>
    </sheetNames>
    <sheetDataSet>
      <sheetData sheetId="0">
        <row r="8">
          <cell r="B8">
            <v>20818</v>
          </cell>
          <cell r="C8" t="str">
            <v>Aconselhamento Pastoral</v>
          </cell>
          <cell r="D8">
            <v>243.65482233502539</v>
          </cell>
          <cell r="E8">
            <v>3.6548223350253806</v>
          </cell>
          <cell r="F8">
            <v>240</v>
          </cell>
          <cell r="G8">
            <v>18</v>
          </cell>
        </row>
        <row r="9">
          <cell r="B9">
            <v>20821</v>
          </cell>
          <cell r="C9" t="str">
            <v>Administração da Produção e Operações</v>
          </cell>
          <cell r="D9">
            <v>220.30456852791878</v>
          </cell>
          <cell r="E9">
            <v>3.3045685279187813</v>
          </cell>
          <cell r="F9">
            <v>217</v>
          </cell>
          <cell r="G9">
            <v>18</v>
          </cell>
        </row>
        <row r="10">
          <cell r="B10">
            <v>20575</v>
          </cell>
          <cell r="C10" t="str">
            <v>Comunicação Empresarial</v>
          </cell>
          <cell r="D10">
            <v>235.53299492385787</v>
          </cell>
          <cell r="E10">
            <v>3.532994923857868</v>
          </cell>
          <cell r="F10">
            <v>232</v>
          </cell>
          <cell r="G10">
            <v>18</v>
          </cell>
        </row>
        <row r="11">
          <cell r="B11">
            <v>20019</v>
          </cell>
          <cell r="C11" t="str">
            <v>Controladoria e Finanças</v>
          </cell>
          <cell r="D11">
            <v>240.60913705583758</v>
          </cell>
          <cell r="E11">
            <v>3.6091370558375635</v>
          </cell>
          <cell r="F11">
            <v>237</v>
          </cell>
          <cell r="G11">
            <v>18</v>
          </cell>
        </row>
        <row r="12">
          <cell r="B12">
            <v>20822</v>
          </cell>
          <cell r="C12" t="str">
            <v xml:space="preserve">Direito Educacional </v>
          </cell>
          <cell r="D12">
            <v>223.35025380710661</v>
          </cell>
          <cell r="E12">
            <v>3.3502538071065993</v>
          </cell>
          <cell r="F12">
            <v>220</v>
          </cell>
          <cell r="G12">
            <v>18</v>
          </cell>
        </row>
        <row r="13">
          <cell r="B13">
            <v>20823</v>
          </cell>
          <cell r="C13" t="str">
            <v>Direitos Difusos e Coletivos</v>
          </cell>
          <cell r="D13">
            <v>216.24365482233503</v>
          </cell>
          <cell r="E13">
            <v>3.2436548223350252</v>
          </cell>
          <cell r="F13">
            <v>213</v>
          </cell>
          <cell r="G13">
            <v>18</v>
          </cell>
        </row>
        <row r="14">
          <cell r="B14">
            <v>20824</v>
          </cell>
          <cell r="C14" t="str">
            <v xml:space="preserve">Engenharia do Produto Utilizando o Método dos Elementos Finitos </v>
          </cell>
          <cell r="D14">
            <v>220.30456852791878</v>
          </cell>
          <cell r="E14">
            <v>3.3045685279187813</v>
          </cell>
          <cell r="F14">
            <v>217</v>
          </cell>
          <cell r="G14">
            <v>18</v>
          </cell>
        </row>
        <row r="15">
          <cell r="B15">
            <v>20831</v>
          </cell>
          <cell r="C15" t="str">
            <v>Filosofia da Religião</v>
          </cell>
          <cell r="D15">
            <v>241.62436548223351</v>
          </cell>
          <cell r="E15">
            <v>3.6243654822335025</v>
          </cell>
          <cell r="F15">
            <v>238</v>
          </cell>
          <cell r="G15">
            <v>18</v>
          </cell>
        </row>
        <row r="16">
          <cell r="B16">
            <v>20825</v>
          </cell>
          <cell r="C16" t="str">
            <v xml:space="preserve">Gestão de Mídias Digitais </v>
          </cell>
          <cell r="D16">
            <v>223.35025380710661</v>
          </cell>
          <cell r="E16">
            <v>3.3502538071065993</v>
          </cell>
          <cell r="F16">
            <v>220</v>
          </cell>
          <cell r="G16">
            <v>18</v>
          </cell>
        </row>
        <row r="17">
          <cell r="B17">
            <v>20018</v>
          </cell>
          <cell r="C17" t="str">
            <v>Gerenciamento de Projetos de TI com Práticas Alinhadas ao PMI®</v>
          </cell>
          <cell r="D17">
            <v>251.7766497461929</v>
          </cell>
          <cell r="E17">
            <v>3.7766497461928932</v>
          </cell>
          <cell r="F17">
            <v>248</v>
          </cell>
          <cell r="G17">
            <v>18</v>
          </cell>
        </row>
        <row r="18">
          <cell r="B18">
            <v>20826</v>
          </cell>
          <cell r="C18" t="str">
            <v>Gestão Ambiental</v>
          </cell>
          <cell r="D18">
            <v>220.30456852791878</v>
          </cell>
          <cell r="E18">
            <v>3.3045685279187813</v>
          </cell>
          <cell r="F18">
            <v>217</v>
          </cell>
          <cell r="G18">
            <v>18</v>
          </cell>
        </row>
        <row r="19">
          <cell r="B19">
            <v>20827</v>
          </cell>
          <cell r="C19" t="str">
            <v>Gestão da Cadeia Produtiva Aeroespacial</v>
          </cell>
          <cell r="D19">
            <v>284.26395939086296</v>
          </cell>
          <cell r="E19">
            <v>4.2639593908629445</v>
          </cell>
          <cell r="F19">
            <v>280</v>
          </cell>
          <cell r="G19">
            <v>18</v>
          </cell>
        </row>
        <row r="20">
          <cell r="B20">
            <v>20010</v>
          </cell>
          <cell r="C20" t="str">
            <v xml:space="preserve">Gestão da Qualidade </v>
          </cell>
          <cell r="D20">
            <v>227.41116751269035</v>
          </cell>
          <cell r="E20">
            <v>3.4111675126903553</v>
          </cell>
          <cell r="F20">
            <v>224</v>
          </cell>
          <cell r="G20">
            <v>18</v>
          </cell>
        </row>
        <row r="21">
          <cell r="B21">
            <v>20828</v>
          </cell>
          <cell r="C21" t="str">
            <v>Gestão de Cidades</v>
          </cell>
          <cell r="D21">
            <v>220.30456852791878</v>
          </cell>
          <cell r="E21">
            <v>3.3045685279187813</v>
          </cell>
          <cell r="F21">
            <v>217</v>
          </cell>
          <cell r="G21">
            <v>18</v>
          </cell>
        </row>
        <row r="22">
          <cell r="B22">
            <v>20015</v>
          </cell>
          <cell r="C22" t="str">
            <v>Gestão de Conteúdo em Comunicação - Jornalismo</v>
          </cell>
          <cell r="D22">
            <v>238.57868020304568</v>
          </cell>
          <cell r="E22">
            <v>3.578680203045685</v>
          </cell>
          <cell r="F22">
            <v>235</v>
          </cell>
          <cell r="G22">
            <v>18</v>
          </cell>
        </row>
        <row r="23">
          <cell r="B23">
            <v>20027</v>
          </cell>
          <cell r="C23" t="str">
            <v>Gestão de Projetos com Práticas Alinhadas ao PMI®</v>
          </cell>
          <cell r="D23">
            <v>251.7766497461929</v>
          </cell>
          <cell r="E23">
            <v>3.7766497461928932</v>
          </cell>
          <cell r="F23">
            <v>248</v>
          </cell>
          <cell r="G23">
            <v>18</v>
          </cell>
        </row>
        <row r="24">
          <cell r="B24">
            <v>20729</v>
          </cell>
          <cell r="C24" t="str">
            <v>Gestão Empresarial</v>
          </cell>
          <cell r="D24">
            <v>231.47208121827413</v>
          </cell>
          <cell r="E24">
            <v>3.4720812182741119</v>
          </cell>
          <cell r="F24">
            <v>228</v>
          </cell>
          <cell r="G24">
            <v>18</v>
          </cell>
        </row>
        <row r="25">
          <cell r="B25">
            <v>20830</v>
          </cell>
          <cell r="C25" t="str">
            <v xml:space="preserve">Gestão Estratégica da Tecnologia da Informação </v>
          </cell>
          <cell r="D25">
            <v>220.30456852791878</v>
          </cell>
          <cell r="E25">
            <v>3.3045685279187813</v>
          </cell>
          <cell r="F25">
            <v>217</v>
          </cell>
          <cell r="G25">
            <v>18</v>
          </cell>
        </row>
        <row r="26">
          <cell r="B26">
            <v>20007</v>
          </cell>
          <cell r="C26" t="str">
            <v>Gestão Estratégica de Pessoas e Psicologia Organizacional</v>
          </cell>
          <cell r="D26">
            <v>233.502538071066</v>
          </cell>
          <cell r="E26">
            <v>3.5025380710659899</v>
          </cell>
          <cell r="F26">
            <v>230</v>
          </cell>
          <cell r="G26">
            <v>18</v>
          </cell>
        </row>
        <row r="27">
          <cell r="B27">
            <v>20833</v>
          </cell>
          <cell r="C27" t="str">
            <v>Gestão Inteligente: Liderança, Coaching e Inovação</v>
          </cell>
          <cell r="D27">
            <v>235.53299492385787</v>
          </cell>
          <cell r="E27">
            <v>3.532994923857868</v>
          </cell>
          <cell r="F27">
            <v>232</v>
          </cell>
          <cell r="G27">
            <v>18</v>
          </cell>
        </row>
        <row r="28">
          <cell r="B28">
            <v>20817</v>
          </cell>
          <cell r="C28" t="str">
            <v>Logística Empresarial e Supply Chain</v>
          </cell>
          <cell r="D28">
            <v>248.73096446700507</v>
          </cell>
          <cell r="E28">
            <v>3.7309644670050757</v>
          </cell>
          <cell r="F28">
            <v>245</v>
          </cell>
          <cell r="G28">
            <v>18</v>
          </cell>
        </row>
        <row r="29">
          <cell r="B29">
            <v>20012</v>
          </cell>
          <cell r="C29" t="str">
            <v>Marketing</v>
          </cell>
          <cell r="D29">
            <v>233.502538071066</v>
          </cell>
          <cell r="E29">
            <v>3.5025380710659899</v>
          </cell>
          <cell r="F29">
            <v>230</v>
          </cell>
          <cell r="G29">
            <v>18</v>
          </cell>
        </row>
        <row r="30">
          <cell r="B30">
            <v>20816</v>
          </cell>
          <cell r="C30" t="str">
            <v>MBA - Gestão de Varejo</v>
          </cell>
          <cell r="D30">
            <v>242.63959390862945</v>
          </cell>
          <cell r="E30">
            <v>3.6395939086294415</v>
          </cell>
          <cell r="F30">
            <v>239</v>
          </cell>
          <cell r="G30">
            <v>18</v>
          </cell>
        </row>
        <row r="31">
          <cell r="B31">
            <v>20026</v>
          </cell>
          <cell r="C31" t="str">
            <v>Mediação e Arbitragem</v>
          </cell>
          <cell r="D31">
            <v>220.30456852791878</v>
          </cell>
          <cell r="E31">
            <v>3.3045685279187813</v>
          </cell>
          <cell r="F31">
            <v>217</v>
          </cell>
          <cell r="G31">
            <v>18</v>
          </cell>
        </row>
        <row r="32">
          <cell r="B32">
            <v>20022</v>
          </cell>
          <cell r="C32" t="str">
            <v>Português - Língua e Literatura</v>
          </cell>
          <cell r="D32">
            <v>231.47208121827413</v>
          </cell>
          <cell r="E32">
            <v>3.4720812182741119</v>
          </cell>
          <cell r="F32">
            <v>228</v>
          </cell>
          <cell r="G32">
            <v>18</v>
          </cell>
        </row>
        <row r="33">
          <cell r="B33">
            <v>20031</v>
          </cell>
          <cell r="C33" t="str">
            <v>Prática de Ensino de Ciências para Educação Infantil e Fundamental I</v>
          </cell>
          <cell r="D33">
            <v>234.51776649746193</v>
          </cell>
          <cell r="E33">
            <v>3.5177664974619289</v>
          </cell>
          <cell r="F33">
            <v>231</v>
          </cell>
          <cell r="G33">
            <v>18</v>
          </cell>
        </row>
        <row r="34">
          <cell r="B34">
            <v>20832</v>
          </cell>
          <cell r="C34" t="str">
            <v>Profetismo Apocalíptico</v>
          </cell>
          <cell r="D34">
            <v>242.63959390862945</v>
          </cell>
          <cell r="E34">
            <v>3.6395939086294415</v>
          </cell>
          <cell r="F34">
            <v>239</v>
          </cell>
          <cell r="G34">
            <v>18</v>
          </cell>
        </row>
        <row r="35">
          <cell r="B35">
            <v>20801</v>
          </cell>
          <cell r="C35" t="str">
            <v>Psicopedagogia</v>
          </cell>
          <cell r="D35">
            <v>231.47208121827413</v>
          </cell>
          <cell r="E35">
            <v>3.4720812182741119</v>
          </cell>
          <cell r="F35">
            <v>228</v>
          </cell>
          <cell r="G35">
            <v>18</v>
          </cell>
        </row>
        <row r="36">
          <cell r="B36">
            <v>20023</v>
          </cell>
          <cell r="C36" t="str">
            <v>Relações Trabalhistas e Gestão do Passivo</v>
          </cell>
          <cell r="D36">
            <v>313.70558375634516</v>
          </cell>
          <cell r="E36">
            <v>4.7055837563451774</v>
          </cell>
          <cell r="F36">
            <v>309</v>
          </cell>
          <cell r="G36">
            <v>18</v>
          </cell>
        </row>
      </sheetData>
      <sheetData sheetId="1">
        <row r="8">
          <cell r="B8">
            <v>20818</v>
          </cell>
          <cell r="C8" t="str">
            <v>Aconselhamento Pastoral</v>
          </cell>
          <cell r="D8">
            <v>274.11167512690355</v>
          </cell>
          <cell r="E8">
            <v>4.1116751269035534</v>
          </cell>
          <cell r="F8">
            <v>270</v>
          </cell>
          <cell r="G8">
            <v>18</v>
          </cell>
        </row>
        <row r="9">
          <cell r="B9">
            <v>20821</v>
          </cell>
          <cell r="C9" t="str">
            <v>Administração da Produção e Operações</v>
          </cell>
          <cell r="D9">
            <v>247.71573604060913</v>
          </cell>
          <cell r="E9">
            <v>3.7157360406091366</v>
          </cell>
          <cell r="F9">
            <v>244</v>
          </cell>
          <cell r="G9">
            <v>18</v>
          </cell>
        </row>
        <row r="10">
          <cell r="B10">
            <v>20575</v>
          </cell>
          <cell r="C10" t="str">
            <v>Comunicação Empresarial</v>
          </cell>
          <cell r="D10">
            <v>264.97461928934013</v>
          </cell>
          <cell r="E10">
            <v>3.9746192893401018</v>
          </cell>
          <cell r="F10">
            <v>261</v>
          </cell>
          <cell r="G10">
            <v>18</v>
          </cell>
        </row>
        <row r="11">
          <cell r="B11">
            <v>20019</v>
          </cell>
          <cell r="C11" t="str">
            <v>Controladoria e Finanças</v>
          </cell>
          <cell r="D11">
            <v>271.06598984771574</v>
          </cell>
          <cell r="E11">
            <v>4.0659898477157359</v>
          </cell>
          <cell r="F11">
            <v>267</v>
          </cell>
          <cell r="G11">
            <v>18</v>
          </cell>
        </row>
        <row r="12">
          <cell r="B12">
            <v>20822</v>
          </cell>
          <cell r="C12" t="str">
            <v xml:space="preserve">Direito Educacional </v>
          </cell>
          <cell r="D12">
            <v>251.7766497461929</v>
          </cell>
          <cell r="E12">
            <v>3.7766497461928932</v>
          </cell>
          <cell r="F12">
            <v>248</v>
          </cell>
          <cell r="G12">
            <v>18</v>
          </cell>
        </row>
        <row r="13">
          <cell r="B13">
            <v>20823</v>
          </cell>
          <cell r="C13" t="str">
            <v>Direitos Difusos e Coletivos</v>
          </cell>
          <cell r="D13">
            <v>243.65482233502539</v>
          </cell>
          <cell r="E13">
            <v>3.6548223350253806</v>
          </cell>
          <cell r="F13">
            <v>240</v>
          </cell>
          <cell r="G13">
            <v>18</v>
          </cell>
        </row>
        <row r="14">
          <cell r="B14">
            <v>20824</v>
          </cell>
          <cell r="C14" t="str">
            <v xml:space="preserve">Engenharia do Produto Utilizando o Método dos Elementos Finitos </v>
          </cell>
          <cell r="D14">
            <v>247.71573604060913</v>
          </cell>
          <cell r="E14">
            <v>3.7157360406091366</v>
          </cell>
          <cell r="F14">
            <v>244</v>
          </cell>
          <cell r="G14">
            <v>18</v>
          </cell>
        </row>
        <row r="15">
          <cell r="B15">
            <v>20831</v>
          </cell>
          <cell r="C15" t="str">
            <v>Filosofia da Religião</v>
          </cell>
          <cell r="D15">
            <v>272.08121827411168</v>
          </cell>
          <cell r="E15">
            <v>4.0812182741116754</v>
          </cell>
          <cell r="F15">
            <v>268</v>
          </cell>
          <cell r="G15">
            <v>18</v>
          </cell>
        </row>
        <row r="16">
          <cell r="B16">
            <v>20825</v>
          </cell>
          <cell r="C16" t="str">
            <v xml:space="preserve">Gestão de Mídias Digitais </v>
          </cell>
          <cell r="D16">
            <v>251.7766497461929</v>
          </cell>
          <cell r="E16">
            <v>3.7766497461928932</v>
          </cell>
          <cell r="F16">
            <v>248</v>
          </cell>
          <cell r="G16">
            <v>18</v>
          </cell>
        </row>
        <row r="17">
          <cell r="B17">
            <v>20018</v>
          </cell>
          <cell r="C17" t="str">
            <v>Gerenciamento de Projetos de TI com Práticas Alinhadas ao PMI®</v>
          </cell>
          <cell r="D17">
            <v>283.24873096446703</v>
          </cell>
          <cell r="E17">
            <v>4.248730964467005</v>
          </cell>
          <cell r="F17">
            <v>279</v>
          </cell>
          <cell r="G17">
            <v>18</v>
          </cell>
        </row>
        <row r="18">
          <cell r="B18">
            <v>20826</v>
          </cell>
          <cell r="C18" t="str">
            <v>Gestão Ambiental</v>
          </cell>
          <cell r="D18">
            <v>247.71573604060913</v>
          </cell>
          <cell r="E18">
            <v>3.7157360406091366</v>
          </cell>
          <cell r="F18">
            <v>244</v>
          </cell>
          <cell r="G18">
            <v>18</v>
          </cell>
        </row>
        <row r="19">
          <cell r="B19">
            <v>20827</v>
          </cell>
          <cell r="C19" t="str">
            <v>Gestão da Cadeia Produtiva Aeroespacial</v>
          </cell>
          <cell r="D19">
            <v>319.79695431472084</v>
          </cell>
          <cell r="E19">
            <v>4.7969543147208125</v>
          </cell>
          <cell r="F19">
            <v>315</v>
          </cell>
          <cell r="G19">
            <v>18</v>
          </cell>
        </row>
        <row r="20">
          <cell r="B20">
            <v>20010</v>
          </cell>
          <cell r="C20" t="str">
            <v xml:space="preserve">Gestão da Qualidade </v>
          </cell>
          <cell r="D20">
            <v>255.83756345177665</v>
          </cell>
          <cell r="E20">
            <v>3.8375634517766497</v>
          </cell>
          <cell r="F20">
            <v>252</v>
          </cell>
          <cell r="G20">
            <v>18</v>
          </cell>
        </row>
        <row r="21">
          <cell r="B21">
            <v>20828</v>
          </cell>
          <cell r="C21" t="str">
            <v>Gestão de Cidades</v>
          </cell>
          <cell r="D21">
            <v>247.71573604060913</v>
          </cell>
          <cell r="E21">
            <v>3.7157360406091366</v>
          </cell>
          <cell r="F21">
            <v>244</v>
          </cell>
          <cell r="G21">
            <v>18</v>
          </cell>
        </row>
        <row r="22">
          <cell r="B22">
            <v>20015</v>
          </cell>
          <cell r="C22" t="str">
            <v>Gestão de Conteúdo em Comunicação - Jornalismo</v>
          </cell>
          <cell r="D22">
            <v>268.02030456852793</v>
          </cell>
          <cell r="E22">
            <v>4.0203045685279193</v>
          </cell>
          <cell r="F22">
            <v>264</v>
          </cell>
          <cell r="G22">
            <v>18</v>
          </cell>
        </row>
        <row r="23">
          <cell r="B23">
            <v>20027</v>
          </cell>
          <cell r="C23" t="str">
            <v>Gestão de Projetos com Práticas Alinhadas ao PMI®</v>
          </cell>
          <cell r="D23">
            <v>283.24873096446703</v>
          </cell>
          <cell r="E23">
            <v>4.248730964467005</v>
          </cell>
          <cell r="F23">
            <v>279</v>
          </cell>
          <cell r="G23">
            <v>18</v>
          </cell>
        </row>
        <row r="24">
          <cell r="B24">
            <v>20729</v>
          </cell>
          <cell r="C24" t="str">
            <v>Gestão Empresarial</v>
          </cell>
          <cell r="D24">
            <v>259.89847715736039</v>
          </cell>
          <cell r="E24">
            <v>3.8984771573604058</v>
          </cell>
          <cell r="F24">
            <v>256</v>
          </cell>
          <cell r="G24">
            <v>18</v>
          </cell>
        </row>
        <row r="25">
          <cell r="B25">
            <v>20830</v>
          </cell>
          <cell r="C25" t="str">
            <v xml:space="preserve">Gestão Estratégica da Tecnologia da Informação </v>
          </cell>
          <cell r="D25">
            <v>247.71573604060913</v>
          </cell>
          <cell r="E25">
            <v>3.7157360406091366</v>
          </cell>
          <cell r="F25">
            <v>244</v>
          </cell>
          <cell r="G25">
            <v>18</v>
          </cell>
        </row>
        <row r="26">
          <cell r="B26">
            <v>20007</v>
          </cell>
          <cell r="C26" t="str">
            <v>Gestão Estratégica de Pessoas e Psicologia Organizacional</v>
          </cell>
          <cell r="D26">
            <v>262.94416243654825</v>
          </cell>
          <cell r="E26">
            <v>3.9441624365482237</v>
          </cell>
          <cell r="F26">
            <v>259</v>
          </cell>
          <cell r="G26">
            <v>18</v>
          </cell>
        </row>
        <row r="27">
          <cell r="B27">
            <v>20833</v>
          </cell>
          <cell r="C27" t="str">
            <v>Gestão Inteligente: Liderança, Coaching e Inovação</v>
          </cell>
          <cell r="D27">
            <v>264.97461928934013</v>
          </cell>
          <cell r="E27">
            <v>3.9746192893401018</v>
          </cell>
          <cell r="F27">
            <v>261</v>
          </cell>
          <cell r="G27">
            <v>18</v>
          </cell>
        </row>
        <row r="28">
          <cell r="B28">
            <v>20817</v>
          </cell>
          <cell r="C28" t="str">
            <v>Logística Empresarial e Supply Chain</v>
          </cell>
          <cell r="D28">
            <v>280.20304568527916</v>
          </cell>
          <cell r="E28">
            <v>4.2030456852791875</v>
          </cell>
          <cell r="F28">
            <v>276</v>
          </cell>
          <cell r="G28">
            <v>18</v>
          </cell>
        </row>
        <row r="29">
          <cell r="B29">
            <v>20012</v>
          </cell>
          <cell r="C29" t="str">
            <v>Marketing</v>
          </cell>
          <cell r="D29">
            <v>262.94416243654825</v>
          </cell>
          <cell r="E29">
            <v>3.9441624365482237</v>
          </cell>
          <cell r="F29">
            <v>259</v>
          </cell>
          <cell r="G29">
            <v>18</v>
          </cell>
        </row>
        <row r="30">
          <cell r="B30">
            <v>20816</v>
          </cell>
          <cell r="C30" t="str">
            <v>MBA - Gestão de Varejo</v>
          </cell>
          <cell r="D30">
            <v>273.09644670050761</v>
          </cell>
          <cell r="E30">
            <v>4.0964467005076139</v>
          </cell>
          <cell r="F30">
            <v>269</v>
          </cell>
          <cell r="G30">
            <v>18</v>
          </cell>
        </row>
        <row r="31">
          <cell r="B31">
            <v>20026</v>
          </cell>
          <cell r="C31" t="str">
            <v>Mediação e Arbitragem</v>
          </cell>
          <cell r="D31">
            <v>247.71573604060913</v>
          </cell>
          <cell r="E31">
            <v>3.7157360406091366</v>
          </cell>
          <cell r="F31">
            <v>244</v>
          </cell>
          <cell r="G31">
            <v>18</v>
          </cell>
        </row>
        <row r="32">
          <cell r="B32">
            <v>20022</v>
          </cell>
          <cell r="C32" t="str">
            <v>Português - Língua e Literatura</v>
          </cell>
          <cell r="D32">
            <v>259.89847715736039</v>
          </cell>
          <cell r="E32">
            <v>3.8984771573604058</v>
          </cell>
          <cell r="F32">
            <v>256</v>
          </cell>
          <cell r="G32">
            <v>18</v>
          </cell>
        </row>
        <row r="33">
          <cell r="B33">
            <v>20031</v>
          </cell>
          <cell r="C33" t="str">
            <v>Prática de Ensino de Ciências para Educação Infantil e Fundamental I</v>
          </cell>
          <cell r="D33">
            <v>263.95939086294419</v>
          </cell>
          <cell r="E33">
            <v>3.9593908629441628</v>
          </cell>
          <cell r="F33">
            <v>260</v>
          </cell>
          <cell r="G33">
            <v>18</v>
          </cell>
        </row>
        <row r="34">
          <cell r="B34">
            <v>20832</v>
          </cell>
          <cell r="C34" t="str">
            <v>Profetismo Apocalíptico</v>
          </cell>
          <cell r="D34">
            <v>273.09644670050761</v>
          </cell>
          <cell r="E34">
            <v>4.0964467005076139</v>
          </cell>
          <cell r="F34">
            <v>269</v>
          </cell>
          <cell r="G34">
            <v>18</v>
          </cell>
        </row>
        <row r="35">
          <cell r="B35">
            <v>20801</v>
          </cell>
          <cell r="C35" t="str">
            <v>Psicopedagogia</v>
          </cell>
          <cell r="D35">
            <v>259.89847715736039</v>
          </cell>
          <cell r="E35">
            <v>3.8984771573604058</v>
          </cell>
          <cell r="F35">
            <v>256</v>
          </cell>
          <cell r="G35">
            <v>18</v>
          </cell>
        </row>
        <row r="36">
          <cell r="B36">
            <v>20023</v>
          </cell>
          <cell r="C36" t="str">
            <v>Relações Trabalhistas e Gestão do Passivo</v>
          </cell>
          <cell r="D36">
            <v>353.29949238578683</v>
          </cell>
          <cell r="E36">
            <v>5.2994923857868024</v>
          </cell>
          <cell r="F36">
            <v>348</v>
          </cell>
          <cell r="G36">
            <v>18</v>
          </cell>
        </row>
      </sheetData>
      <sheetData sheetId="2">
        <row r="8">
          <cell r="B8">
            <v>20818</v>
          </cell>
          <cell r="C8" t="str">
            <v>Aconselhamento Pastoral</v>
          </cell>
          <cell r="D8">
            <v>303.5532994923858</v>
          </cell>
          <cell r="E8">
            <v>4.5532994923857872</v>
          </cell>
          <cell r="F8">
            <v>299</v>
          </cell>
          <cell r="G8">
            <v>18</v>
          </cell>
        </row>
        <row r="9">
          <cell r="B9">
            <v>20821</v>
          </cell>
          <cell r="C9" t="str">
            <v>Administração da Produção e Operações</v>
          </cell>
          <cell r="D9">
            <v>275.12690355329948</v>
          </cell>
          <cell r="E9">
            <v>4.126903553299492</v>
          </cell>
          <cell r="F9">
            <v>271</v>
          </cell>
          <cell r="G9">
            <v>18</v>
          </cell>
        </row>
        <row r="10">
          <cell r="B10">
            <v>20575</v>
          </cell>
          <cell r="C10" t="str">
            <v>Comunicação Empresarial</v>
          </cell>
          <cell r="D10">
            <v>293.40101522842639</v>
          </cell>
          <cell r="E10">
            <v>4.4010152284263953</v>
          </cell>
          <cell r="F10">
            <v>289</v>
          </cell>
          <cell r="G10">
            <v>18</v>
          </cell>
        </row>
        <row r="11">
          <cell r="B11">
            <v>20019</v>
          </cell>
          <cell r="C11" t="str">
            <v>Controladoria e Finanças</v>
          </cell>
          <cell r="D11">
            <v>300.507614213198</v>
          </cell>
          <cell r="E11">
            <v>4.5076142131979697</v>
          </cell>
          <cell r="F11">
            <v>296</v>
          </cell>
          <cell r="G11">
            <v>18</v>
          </cell>
        </row>
        <row r="12">
          <cell r="B12">
            <v>20822</v>
          </cell>
          <cell r="C12" t="str">
            <v xml:space="preserve">Direito Educacional </v>
          </cell>
          <cell r="D12">
            <v>279.18781725888323</v>
          </cell>
          <cell r="E12">
            <v>4.1878172588832481</v>
          </cell>
          <cell r="F12">
            <v>275</v>
          </cell>
          <cell r="G12">
            <v>18</v>
          </cell>
        </row>
        <row r="13">
          <cell r="B13">
            <v>20823</v>
          </cell>
          <cell r="C13" t="str">
            <v>Direitos Difusos e Coletivos</v>
          </cell>
          <cell r="D13">
            <v>270.05076142131981</v>
          </cell>
          <cell r="E13">
            <v>4.0507614213197973</v>
          </cell>
          <cell r="F13">
            <v>266</v>
          </cell>
          <cell r="G13">
            <v>18</v>
          </cell>
        </row>
        <row r="14">
          <cell r="B14">
            <v>20824</v>
          </cell>
          <cell r="C14" t="str">
            <v xml:space="preserve">Engenharia do Produto Utilizando o Método dos Elementos Finitos </v>
          </cell>
          <cell r="D14">
            <v>275.12690355329948</v>
          </cell>
          <cell r="E14">
            <v>4.126903553299492</v>
          </cell>
          <cell r="F14">
            <v>271</v>
          </cell>
          <cell r="G14">
            <v>18</v>
          </cell>
        </row>
        <row r="15">
          <cell r="B15">
            <v>20831</v>
          </cell>
          <cell r="C15" t="str">
            <v>Filosofia da Religião</v>
          </cell>
          <cell r="D15">
            <v>301.52284263959393</v>
          </cell>
          <cell r="E15">
            <v>4.5228426395939092</v>
          </cell>
          <cell r="F15">
            <v>297</v>
          </cell>
          <cell r="G15">
            <v>18</v>
          </cell>
        </row>
        <row r="16">
          <cell r="B16">
            <v>20825</v>
          </cell>
          <cell r="C16" t="str">
            <v xml:space="preserve">Gestão de Mídias Digitais </v>
          </cell>
          <cell r="D16">
            <v>279.18781725888323</v>
          </cell>
          <cell r="E16">
            <v>4.1878172588832481</v>
          </cell>
          <cell r="F16">
            <v>275</v>
          </cell>
          <cell r="G16">
            <v>18</v>
          </cell>
        </row>
        <row r="17">
          <cell r="B17">
            <v>20018</v>
          </cell>
          <cell r="C17" t="str">
            <v>Gerenciamento de Projetos de TI com Práticas Alinhadas ao PMI®</v>
          </cell>
          <cell r="D17">
            <v>313.70558375634516</v>
          </cell>
          <cell r="E17">
            <v>4.7055837563451774</v>
          </cell>
          <cell r="F17">
            <v>309</v>
          </cell>
          <cell r="G17">
            <v>18</v>
          </cell>
        </row>
        <row r="18">
          <cell r="B18">
            <v>20826</v>
          </cell>
          <cell r="C18" t="str">
            <v>Gestão Ambiental</v>
          </cell>
          <cell r="D18">
            <v>275.12690355329948</v>
          </cell>
          <cell r="E18">
            <v>4.126903553299492</v>
          </cell>
          <cell r="F18">
            <v>271</v>
          </cell>
          <cell r="G18">
            <v>18</v>
          </cell>
        </row>
        <row r="19">
          <cell r="B19">
            <v>20827</v>
          </cell>
          <cell r="C19" t="str">
            <v>Gestão da Cadeia Produtiva Aeroespacial</v>
          </cell>
          <cell r="D19">
            <v>355.32994923857871</v>
          </cell>
          <cell r="E19">
            <v>5.3299492385786804</v>
          </cell>
          <cell r="F19">
            <v>350</v>
          </cell>
          <cell r="G19">
            <v>18</v>
          </cell>
        </row>
        <row r="20">
          <cell r="B20">
            <v>20010</v>
          </cell>
          <cell r="C20" t="str">
            <v xml:space="preserve">Gestão da Qualidade </v>
          </cell>
          <cell r="D20">
            <v>284.26395939086296</v>
          </cell>
          <cell r="E20">
            <v>4.2639593908629445</v>
          </cell>
          <cell r="F20">
            <v>280</v>
          </cell>
          <cell r="G20">
            <v>18</v>
          </cell>
        </row>
        <row r="21">
          <cell r="B21">
            <v>20828</v>
          </cell>
          <cell r="C21" t="str">
            <v>Gestão de Cidades</v>
          </cell>
          <cell r="D21">
            <v>275.12690355329948</v>
          </cell>
          <cell r="E21">
            <v>4.126903553299492</v>
          </cell>
          <cell r="F21">
            <v>271</v>
          </cell>
          <cell r="G21">
            <v>18</v>
          </cell>
        </row>
        <row r="22">
          <cell r="B22">
            <v>20015</v>
          </cell>
          <cell r="C22" t="str">
            <v>Gestão de Conteúdo em Comunicação - Jornalismo</v>
          </cell>
          <cell r="D22">
            <v>297.46192893401013</v>
          </cell>
          <cell r="E22">
            <v>4.4619289340101522</v>
          </cell>
          <cell r="F22">
            <v>293</v>
          </cell>
          <cell r="G22">
            <v>18</v>
          </cell>
        </row>
        <row r="23">
          <cell r="B23">
            <v>20027</v>
          </cell>
          <cell r="C23" t="str">
            <v>Gestão de Projetos com Práticas Alinhadas ao PMI®</v>
          </cell>
          <cell r="D23">
            <v>313.70558375634516</v>
          </cell>
          <cell r="E23">
            <v>4.7055837563451774</v>
          </cell>
          <cell r="F23">
            <v>309</v>
          </cell>
          <cell r="G23">
            <v>18</v>
          </cell>
        </row>
        <row r="24">
          <cell r="B24">
            <v>20729</v>
          </cell>
          <cell r="C24" t="str">
            <v>Gestão Empresarial</v>
          </cell>
          <cell r="D24">
            <v>288.32487309644671</v>
          </cell>
          <cell r="E24">
            <v>4.3248730964467006</v>
          </cell>
          <cell r="F24">
            <v>284</v>
          </cell>
          <cell r="G24">
            <v>18</v>
          </cell>
        </row>
        <row r="25">
          <cell r="B25">
            <v>20830</v>
          </cell>
          <cell r="C25" t="str">
            <v xml:space="preserve">Gestão Estratégica da Tecnologia da Informação </v>
          </cell>
          <cell r="D25">
            <v>275.12690355329948</v>
          </cell>
          <cell r="E25">
            <v>4.126903553299492</v>
          </cell>
          <cell r="F25">
            <v>271</v>
          </cell>
          <cell r="G25">
            <v>18</v>
          </cell>
        </row>
        <row r="26">
          <cell r="B26">
            <v>20007</v>
          </cell>
          <cell r="C26" t="str">
            <v>Gestão Estratégica de Pessoas e Psicologia Organizacional</v>
          </cell>
          <cell r="D26">
            <v>291.37055837563452</v>
          </cell>
          <cell r="E26">
            <v>4.3705583756345172</v>
          </cell>
          <cell r="F26">
            <v>287</v>
          </cell>
          <cell r="G26">
            <v>18</v>
          </cell>
        </row>
        <row r="27">
          <cell r="B27">
            <v>20833</v>
          </cell>
          <cell r="C27" t="str">
            <v>Gestão Inteligente: Liderança, Coaching e Inovação</v>
          </cell>
          <cell r="D27">
            <v>293.40101522842639</v>
          </cell>
          <cell r="E27">
            <v>4.4010152284263953</v>
          </cell>
          <cell r="F27">
            <v>289</v>
          </cell>
          <cell r="G27">
            <v>18</v>
          </cell>
        </row>
        <row r="28">
          <cell r="B28">
            <v>20817</v>
          </cell>
          <cell r="C28" t="str">
            <v>Logística Empresarial e Supply Chain</v>
          </cell>
          <cell r="D28">
            <v>310.65989847715736</v>
          </cell>
          <cell r="E28">
            <v>4.6598984771573599</v>
          </cell>
          <cell r="F28">
            <v>306</v>
          </cell>
          <cell r="G28">
            <v>18</v>
          </cell>
        </row>
        <row r="29">
          <cell r="B29">
            <v>20012</v>
          </cell>
          <cell r="C29" t="str">
            <v>Marketing</v>
          </cell>
          <cell r="D29">
            <v>291.37055837563452</v>
          </cell>
          <cell r="E29">
            <v>4.3705583756345172</v>
          </cell>
          <cell r="F29">
            <v>287</v>
          </cell>
          <cell r="G29">
            <v>18</v>
          </cell>
        </row>
        <row r="30">
          <cell r="B30">
            <v>20816</v>
          </cell>
          <cell r="C30" t="str">
            <v>MBA - Gestão de Varejo</v>
          </cell>
          <cell r="D30">
            <v>302.53807106598987</v>
          </cell>
          <cell r="E30">
            <v>4.5380710659898478</v>
          </cell>
          <cell r="F30">
            <v>298</v>
          </cell>
          <cell r="G30">
            <v>18</v>
          </cell>
        </row>
        <row r="31">
          <cell r="B31">
            <v>20026</v>
          </cell>
          <cell r="C31" t="str">
            <v>Mediação e Arbitragem</v>
          </cell>
          <cell r="D31">
            <v>275.12690355329948</v>
          </cell>
          <cell r="E31">
            <v>4.126903553299492</v>
          </cell>
          <cell r="F31">
            <v>271</v>
          </cell>
          <cell r="G31">
            <v>18</v>
          </cell>
        </row>
        <row r="32">
          <cell r="B32">
            <v>20022</v>
          </cell>
          <cell r="C32" t="str">
            <v>Português - Língua e Literatura</v>
          </cell>
          <cell r="D32">
            <v>288.32487309644671</v>
          </cell>
          <cell r="E32">
            <v>4.3248730964467006</v>
          </cell>
          <cell r="F32">
            <v>284</v>
          </cell>
          <cell r="G32">
            <v>18</v>
          </cell>
        </row>
        <row r="33">
          <cell r="B33">
            <v>20031</v>
          </cell>
          <cell r="C33" t="str">
            <v>Prática de Ensino de Ciências para Educação Infantil e Fundamental I</v>
          </cell>
          <cell r="D33">
            <v>292.38578680203045</v>
          </cell>
          <cell r="E33">
            <v>4.3857868020304567</v>
          </cell>
          <cell r="F33">
            <v>288</v>
          </cell>
          <cell r="G33">
            <v>18</v>
          </cell>
        </row>
        <row r="34">
          <cell r="B34">
            <v>20832</v>
          </cell>
          <cell r="C34" t="str">
            <v>Profetismo Apocalíptico</v>
          </cell>
          <cell r="D34">
            <v>302.53807106598987</v>
          </cell>
          <cell r="E34">
            <v>4.5380710659898478</v>
          </cell>
          <cell r="F34">
            <v>298</v>
          </cell>
          <cell r="G34">
            <v>18</v>
          </cell>
        </row>
        <row r="35">
          <cell r="B35">
            <v>20801</v>
          </cell>
          <cell r="C35" t="str">
            <v>Psicopedagogia</v>
          </cell>
          <cell r="D35">
            <v>288.32487309644671</v>
          </cell>
          <cell r="E35">
            <v>4.3248730964467006</v>
          </cell>
          <cell r="F35">
            <v>284</v>
          </cell>
          <cell r="G35">
            <v>18</v>
          </cell>
        </row>
        <row r="36">
          <cell r="B36">
            <v>20023</v>
          </cell>
          <cell r="C36" t="str">
            <v>Relações Trabalhistas e Gestão do Passivo</v>
          </cell>
          <cell r="D36">
            <v>391.87817258883251</v>
          </cell>
          <cell r="E36">
            <v>5.8781725888324878</v>
          </cell>
          <cell r="F36">
            <v>386</v>
          </cell>
          <cell r="G36">
            <v>18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0.1271583713560529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9.7622492606110126E-2</v>
          </cell>
        </row>
      </sheetData>
      <sheetData sheetId="1" refreshError="1"/>
      <sheetData sheetId="2">
        <row r="40">
          <cell r="Q40">
            <v>1</v>
          </cell>
        </row>
      </sheetData>
      <sheetData sheetId="3"/>
      <sheetData sheetId="4" refreshError="1"/>
      <sheetData sheetId="5">
        <row r="29">
          <cell r="H29">
            <v>5</v>
          </cell>
        </row>
      </sheetData>
      <sheetData sheetId="6">
        <row r="11">
          <cell r="H11">
            <v>3</v>
          </cell>
        </row>
      </sheetData>
      <sheetData sheetId="7">
        <row r="20">
          <cell r="B20" t="str">
            <v>1º Período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0.13101068756493228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0.40349355681956867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14">
          <cell r="D14">
            <v>0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1"/>
      <sheetName val="2"/>
      <sheetName val="3"/>
      <sheetName val="4"/>
      <sheetName val="5"/>
      <sheetName val="Dados do Curso"/>
      <sheetName val="Estrutura Curricular"/>
      <sheetName val="Material Didático"/>
      <sheetName val="Investimentos"/>
      <sheetName val="Conteúdo"/>
      <sheetName val="Resumo"/>
    </sheetNames>
    <sheetDataSet>
      <sheetData sheetId="0">
        <row r="58">
          <cell r="D58">
            <v>0.38009138597041575</v>
          </cell>
        </row>
        <row r="70">
          <cell r="I70">
            <v>290.00370000000004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H13">
            <v>18</v>
          </cell>
        </row>
      </sheetData>
      <sheetData sheetId="7">
        <row r="70">
          <cell r="G70">
            <v>360</v>
          </cell>
        </row>
      </sheetData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gata Pandolpho" refreshedDate="42703.738720023146" createdVersion="5" refreshedVersion="5" minRefreshableVersion="3" recordCount="118">
  <cacheSource type="worksheet">
    <worksheetSource ref="B2:E120" sheet="Regiões x Polos"/>
  </cacheSource>
  <cacheFields count="4">
    <cacheField name="Grupo_Região" numFmtId="0">
      <sharedItems count="3">
        <s v="ABC e GRU"/>
        <s v="N, NE e CO"/>
        <s v="S e SE"/>
      </sharedItems>
    </cacheField>
    <cacheField name="Polo" numFmtId="0">
      <sharedItems/>
    </cacheField>
    <cacheField name="Região" numFmtId="0">
      <sharedItems count="5">
        <s v="Sudeste"/>
        <s v="Nordeste"/>
        <s v="Norte"/>
        <s v="Centro-Oeste"/>
        <s v="Sul"/>
      </sharedItems>
    </cacheField>
    <cacheField name="UF" numFmtId="0">
      <sharedItems count="23">
        <s v="SP"/>
        <s v="BA"/>
        <s v="PA"/>
        <s v="GO"/>
        <s v="CE"/>
        <s v="RR"/>
        <s v="DF"/>
        <s v="PB"/>
        <s v="MS"/>
        <s v="MT"/>
        <s v="PE"/>
        <s v="MA"/>
        <s v="AP"/>
        <s v="AL"/>
        <s v="RN"/>
        <s v="TO"/>
        <s v="RO"/>
        <s v="PR"/>
        <s v="MG"/>
        <s v="SC"/>
        <s v="RS"/>
        <s v="ES"/>
        <s v="R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x v="0"/>
    <s v="Diadema"/>
    <x v="0"/>
    <x v="0"/>
  </r>
  <r>
    <x v="0"/>
    <s v="Guarulhos"/>
    <x v="0"/>
    <x v="0"/>
  </r>
  <r>
    <x v="0"/>
    <s v="Mauá"/>
    <x v="0"/>
    <x v="0"/>
  </r>
  <r>
    <x v="0"/>
    <s v="Planalto"/>
    <x v="0"/>
    <x v="0"/>
  </r>
  <r>
    <x v="0"/>
    <s v="Rudge Ramos (S. B. Campo)"/>
    <x v="0"/>
    <x v="0"/>
  </r>
  <r>
    <x v="0"/>
    <s v="Vergueiro"/>
    <x v="0"/>
    <x v="0"/>
  </r>
  <r>
    <x v="1"/>
    <s v="Alagoinhas"/>
    <x v="1"/>
    <x v="1"/>
  </r>
  <r>
    <x v="1"/>
    <s v="Altamira"/>
    <x v="2"/>
    <x v="2"/>
  </r>
  <r>
    <x v="1"/>
    <s v="Anápolis"/>
    <x v="3"/>
    <x v="3"/>
  </r>
  <r>
    <x v="1"/>
    <s v="Barbalha"/>
    <x v="1"/>
    <x v="4"/>
  </r>
  <r>
    <x v="1"/>
    <s v="Belém"/>
    <x v="2"/>
    <x v="2"/>
  </r>
  <r>
    <x v="1"/>
    <s v="Benevides"/>
    <x v="2"/>
    <x v="2"/>
  </r>
  <r>
    <x v="1"/>
    <s v="Boa Vista"/>
    <x v="2"/>
    <x v="5"/>
  </r>
  <r>
    <x v="1"/>
    <s v="Brasília"/>
    <x v="3"/>
    <x v="6"/>
  </r>
  <r>
    <x v="1"/>
    <s v="Campina Grande"/>
    <x v="1"/>
    <x v="7"/>
  </r>
  <r>
    <x v="1"/>
    <s v="Campo Grande"/>
    <x v="3"/>
    <x v="8"/>
  </r>
  <r>
    <x v="1"/>
    <s v="Ceres"/>
    <x v="3"/>
    <x v="3"/>
  </r>
  <r>
    <x v="1"/>
    <s v="Cidade Ocidental"/>
    <x v="3"/>
    <x v="3"/>
  </r>
  <r>
    <x v="1"/>
    <s v="Cuiabá"/>
    <x v="3"/>
    <x v="9"/>
  </r>
  <r>
    <x v="1"/>
    <s v="Dias d ávila"/>
    <x v="1"/>
    <x v="1"/>
  </r>
  <r>
    <x v="1"/>
    <s v="Dourados"/>
    <x v="3"/>
    <x v="8"/>
  </r>
  <r>
    <x v="1"/>
    <s v="Formosa"/>
    <x v="3"/>
    <x v="3"/>
  </r>
  <r>
    <x v="1"/>
    <s v="Fortaleza"/>
    <x v="1"/>
    <x v="4"/>
  </r>
  <r>
    <x v="1"/>
    <s v="Goiânia"/>
    <x v="3"/>
    <x v="3"/>
  </r>
  <r>
    <x v="1"/>
    <s v="Guarantã do Norte"/>
    <x v="3"/>
    <x v="9"/>
  </r>
  <r>
    <x v="1"/>
    <s v="Horizonte"/>
    <x v="1"/>
    <x v="4"/>
  </r>
  <r>
    <x v="1"/>
    <s v="Igarassu"/>
    <x v="1"/>
    <x v="10"/>
  </r>
  <r>
    <x v="1"/>
    <s v="Ilhéus"/>
    <x v="1"/>
    <x v="1"/>
  </r>
  <r>
    <x v="1"/>
    <s v="Imperatriz"/>
    <x v="2"/>
    <x v="11"/>
  </r>
  <r>
    <x v="1"/>
    <s v="Itumbiara"/>
    <x v="3"/>
    <x v="3"/>
  </r>
  <r>
    <x v="1"/>
    <s v="João Pessoa"/>
    <x v="1"/>
    <x v="7"/>
  </r>
  <r>
    <x v="1"/>
    <s v="Macapá"/>
    <x v="2"/>
    <x v="12"/>
  </r>
  <r>
    <x v="1"/>
    <s v="Maceió"/>
    <x v="1"/>
    <x v="13"/>
  </r>
  <r>
    <x v="1"/>
    <s v="Mossoró"/>
    <x v="1"/>
    <x v="14"/>
  </r>
  <r>
    <x v="1"/>
    <s v="Natal"/>
    <x v="1"/>
    <x v="14"/>
  </r>
  <r>
    <x v="1"/>
    <s v="Palmas"/>
    <x v="2"/>
    <x v="15"/>
  </r>
  <r>
    <x v="1"/>
    <s v="Porto Velho"/>
    <x v="2"/>
    <x v="16"/>
  </r>
  <r>
    <x v="1"/>
    <s v="Recife"/>
    <x v="1"/>
    <x v="10"/>
  </r>
  <r>
    <x v="1"/>
    <s v="Rio Verde"/>
    <x v="3"/>
    <x v="3"/>
  </r>
  <r>
    <x v="1"/>
    <s v="Salvador"/>
    <x v="1"/>
    <x v="1"/>
  </r>
  <r>
    <x v="1"/>
    <s v="Santarém"/>
    <x v="2"/>
    <x v="2"/>
  </r>
  <r>
    <x v="1"/>
    <s v="Sobral"/>
    <x v="1"/>
    <x v="4"/>
  </r>
  <r>
    <x v="1"/>
    <s v="Tucuruí"/>
    <x v="2"/>
    <x v="2"/>
  </r>
  <r>
    <x v="1"/>
    <s v="Vitória da Conquista"/>
    <x v="1"/>
    <x v="1"/>
  </r>
  <r>
    <x v="2"/>
    <s v="Andirá"/>
    <x v="4"/>
    <x v="17"/>
  </r>
  <r>
    <x v="2"/>
    <s v="Araçatuba"/>
    <x v="0"/>
    <x v="0"/>
  </r>
  <r>
    <x v="2"/>
    <s v="Arantina"/>
    <x v="0"/>
    <x v="18"/>
  </r>
  <r>
    <x v="2"/>
    <s v="Arapongas"/>
    <x v="4"/>
    <x v="17"/>
  </r>
  <r>
    <x v="2"/>
    <s v="Atibaia"/>
    <x v="0"/>
    <x v="0"/>
  </r>
  <r>
    <x v="2"/>
    <s v="Avaré"/>
    <x v="0"/>
    <x v="0"/>
  </r>
  <r>
    <x v="2"/>
    <s v="Bauru"/>
    <x v="0"/>
    <x v="0"/>
  </r>
  <r>
    <x v="2"/>
    <s v="Bertioga"/>
    <x v="0"/>
    <x v="0"/>
  </r>
  <r>
    <x v="2"/>
    <s v="Blumenau"/>
    <x v="4"/>
    <x v="19"/>
  </r>
  <r>
    <x v="2"/>
    <s v="Camaquã"/>
    <x v="4"/>
    <x v="20"/>
  </r>
  <r>
    <x v="2"/>
    <s v="Campinas"/>
    <x v="0"/>
    <x v="0"/>
  </r>
  <r>
    <x v="2"/>
    <s v="Cariacica"/>
    <x v="0"/>
    <x v="21"/>
  </r>
  <r>
    <x v="2"/>
    <s v="Carlos Barbosa"/>
    <x v="4"/>
    <x v="20"/>
  </r>
  <r>
    <x v="2"/>
    <s v="Cascavel"/>
    <x v="4"/>
    <x v="17"/>
  </r>
  <r>
    <x v="2"/>
    <s v="Chapecó"/>
    <x v="4"/>
    <x v="19"/>
  </r>
  <r>
    <x v="2"/>
    <s v="Curitiba"/>
    <x v="4"/>
    <x v="17"/>
  </r>
  <r>
    <x v="2"/>
    <s v="Dom Pedrito"/>
    <x v="4"/>
    <x v="20"/>
  </r>
  <r>
    <x v="2"/>
    <s v="Embu-Guaçu"/>
    <x v="0"/>
    <x v="0"/>
  </r>
  <r>
    <x v="2"/>
    <s v="Fazenda Rio Grande"/>
    <x v="4"/>
    <x v="17"/>
  </r>
  <r>
    <x v="2"/>
    <s v="Foz do Iguaçú"/>
    <x v="4"/>
    <x v="17"/>
  </r>
  <r>
    <x v="2"/>
    <s v="Franca"/>
    <x v="0"/>
    <x v="0"/>
  </r>
  <r>
    <x v="2"/>
    <s v="Guaianazes (São Paulo)"/>
    <x v="0"/>
    <x v="0"/>
  </r>
  <r>
    <x v="2"/>
    <s v="Guarapari"/>
    <x v="0"/>
    <x v="21"/>
  </r>
  <r>
    <x v="2"/>
    <s v="Guaratinguetá"/>
    <x v="0"/>
    <x v="0"/>
  </r>
  <r>
    <x v="2"/>
    <s v="Indaiatuba"/>
    <x v="0"/>
    <x v="0"/>
  </r>
  <r>
    <x v="2"/>
    <s v="Itanhaém"/>
    <x v="0"/>
    <x v="0"/>
  </r>
  <r>
    <x v="2"/>
    <s v="Itapeva"/>
    <x v="0"/>
    <x v="0"/>
  </r>
  <r>
    <x v="2"/>
    <s v="Jaguarão"/>
    <x v="4"/>
    <x v="20"/>
  </r>
  <r>
    <x v="2"/>
    <s v="Japeri"/>
    <x v="0"/>
    <x v="22"/>
  </r>
  <r>
    <x v="2"/>
    <s v="Juiz de Fora"/>
    <x v="0"/>
    <x v="18"/>
  </r>
  <r>
    <x v="2"/>
    <s v="Lapa (São Paulo)"/>
    <x v="0"/>
    <x v="0"/>
  </r>
  <r>
    <x v="2"/>
    <s v="Lins"/>
    <x v="0"/>
    <x v="0"/>
  </r>
  <r>
    <x v="2"/>
    <s v="Londrina"/>
    <x v="0"/>
    <x v="17"/>
  </r>
  <r>
    <x v="2"/>
    <s v="Macaé"/>
    <x v="0"/>
    <x v="22"/>
  </r>
  <r>
    <x v="2"/>
    <s v="Marília"/>
    <x v="0"/>
    <x v="0"/>
  </r>
  <r>
    <x v="2"/>
    <s v="Mogi das Cruzes"/>
    <x v="0"/>
    <x v="0"/>
  </r>
  <r>
    <x v="2"/>
    <s v="Mondaí"/>
    <x v="4"/>
    <x v="19"/>
  </r>
  <r>
    <x v="2"/>
    <s v="Montes Claros"/>
    <x v="0"/>
    <x v="18"/>
  </r>
  <r>
    <x v="2"/>
    <s v="Mooca (São Paulo)"/>
    <x v="0"/>
    <x v="0"/>
  </r>
  <r>
    <x v="2"/>
    <s v="Niterói"/>
    <x v="0"/>
    <x v="22"/>
  </r>
  <r>
    <x v="2"/>
    <s v="Nova Friburgo"/>
    <x v="0"/>
    <x v="22"/>
  </r>
  <r>
    <x v="2"/>
    <s v="Olímpia"/>
    <x v="0"/>
    <x v="0"/>
  </r>
  <r>
    <x v="2"/>
    <s v="Osasco"/>
    <x v="0"/>
    <x v="0"/>
  </r>
  <r>
    <x v="2"/>
    <s v="Parelheiros"/>
    <x v="0"/>
    <x v="0"/>
  </r>
  <r>
    <x v="2"/>
    <s v="Passo Fundo"/>
    <x v="4"/>
    <x v="20"/>
  </r>
  <r>
    <x v="2"/>
    <s v="Patos de Minas"/>
    <x v="0"/>
    <x v="18"/>
  </r>
  <r>
    <x v="2"/>
    <s v="Perus (São Paulo)"/>
    <x v="0"/>
    <x v="0"/>
  </r>
  <r>
    <x v="2"/>
    <s v="Petrópolis"/>
    <x v="0"/>
    <x v="22"/>
  </r>
  <r>
    <x v="2"/>
    <s v="Piracicaba Acipi"/>
    <x v="0"/>
    <x v="0"/>
  </r>
  <r>
    <x v="2"/>
    <s v="Piracicaba Centro"/>
    <x v="0"/>
    <x v="0"/>
  </r>
  <r>
    <x v="2"/>
    <s v="Piracicaba Taquaral"/>
    <x v="0"/>
    <x v="0"/>
  </r>
  <r>
    <x v="2"/>
    <s v="Porto Alegre"/>
    <x v="4"/>
    <x v="20"/>
  </r>
  <r>
    <x v="2"/>
    <s v="Presidente Prudente"/>
    <x v="0"/>
    <x v="0"/>
  </r>
  <r>
    <x v="2"/>
    <s v="Realengo"/>
    <x v="0"/>
    <x v="22"/>
  </r>
  <r>
    <x v="2"/>
    <s v="Ribeirão Preto"/>
    <x v="0"/>
    <x v="0"/>
  </r>
  <r>
    <x v="2"/>
    <s v="Rio de Janeiro"/>
    <x v="0"/>
    <x v="22"/>
  </r>
  <r>
    <x v="2"/>
    <s v="Santa Bárbara D'Oeste"/>
    <x v="0"/>
    <x v="0"/>
  </r>
  <r>
    <x v="2"/>
    <s v="Santa Maria"/>
    <x v="4"/>
    <x v="20"/>
  </r>
  <r>
    <x v="2"/>
    <s v="Santo Augusto"/>
    <x v="0"/>
    <x v="20"/>
  </r>
  <r>
    <x v="2"/>
    <s v="Santos"/>
    <x v="0"/>
    <x v="0"/>
  </r>
  <r>
    <x v="2"/>
    <s v="São José do Rio Preto"/>
    <x v="0"/>
    <x v="0"/>
  </r>
  <r>
    <x v="2"/>
    <s v="São José dos Campos"/>
    <x v="0"/>
    <x v="0"/>
  </r>
  <r>
    <x v="2"/>
    <s v="São Paulo (Av. Paulista)"/>
    <x v="0"/>
    <x v="0"/>
  </r>
  <r>
    <x v="2"/>
    <s v="Sapucaia"/>
    <x v="0"/>
    <x v="22"/>
  </r>
  <r>
    <x v="2"/>
    <s v="Sete Lagoas"/>
    <x v="0"/>
    <x v="18"/>
  </r>
  <r>
    <x v="2"/>
    <s v="Sorocaba"/>
    <x v="0"/>
    <x v="0"/>
  </r>
  <r>
    <x v="2"/>
    <s v="SP Jabaquara"/>
    <x v="0"/>
    <x v="0"/>
  </r>
  <r>
    <x v="2"/>
    <s v="SP Santo Amaro"/>
    <x v="0"/>
    <x v="0"/>
  </r>
  <r>
    <x v="2"/>
    <s v="Taubaté"/>
    <x v="0"/>
    <x v="0"/>
  </r>
  <r>
    <x v="2"/>
    <s v="Teresópolis"/>
    <x v="0"/>
    <x v="22"/>
  </r>
  <r>
    <x v="2"/>
    <s v="Uberaba"/>
    <x v="0"/>
    <x v="18"/>
  </r>
  <r>
    <x v="2"/>
    <s v="Uruguaiana"/>
    <x v="4"/>
    <x v="20"/>
  </r>
  <r>
    <x v="2"/>
    <s v="Vitória"/>
    <x v="0"/>
    <x v="21"/>
  </r>
  <r>
    <x v="2"/>
    <s v="Volta Redonda"/>
    <x v="0"/>
    <x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5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multipleFieldFilters="0">
  <location ref="A3:C33" firstHeaderRow="1" firstDataRow="1" firstDataCol="3"/>
  <pivotFields count="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6">
        <item x="3"/>
        <item x="1"/>
        <item x="2"/>
        <item x="0"/>
        <item x="4"/>
        <item t="default"/>
      </items>
    </pivotField>
    <pivotField axis="axisRow" compact="0" outline="0" showAll="0" defaultSubtotal="0">
      <items count="23">
        <item x="13"/>
        <item x="12"/>
        <item x="1"/>
        <item x="4"/>
        <item x="6"/>
        <item x="21"/>
        <item x="3"/>
        <item x="11"/>
        <item x="18"/>
        <item x="8"/>
        <item x="9"/>
        <item x="2"/>
        <item x="7"/>
        <item x="10"/>
        <item x="17"/>
        <item x="22"/>
        <item x="14"/>
        <item x="16"/>
        <item x="5"/>
        <item x="20"/>
        <item x="19"/>
        <item x="0"/>
        <item x="15"/>
      </items>
    </pivotField>
  </pivotFields>
  <rowFields count="3">
    <field x="0"/>
    <field x="3"/>
    <field x="2"/>
  </rowFields>
  <rowItems count="30">
    <i>
      <x/>
      <x v="21"/>
      <x v="3"/>
    </i>
    <i t="default">
      <x/>
    </i>
    <i>
      <x v="1"/>
      <x/>
      <x v="1"/>
    </i>
    <i r="1">
      <x v="1"/>
      <x v="2"/>
    </i>
    <i r="1">
      <x v="2"/>
      <x v="1"/>
    </i>
    <i r="1">
      <x v="3"/>
      <x v="1"/>
    </i>
    <i r="1">
      <x v="4"/>
      <x/>
    </i>
    <i r="1">
      <x v="6"/>
      <x/>
    </i>
    <i r="1">
      <x v="7"/>
      <x v="2"/>
    </i>
    <i r="1">
      <x v="9"/>
      <x/>
    </i>
    <i r="1">
      <x v="10"/>
      <x/>
    </i>
    <i r="1">
      <x v="11"/>
      <x v="2"/>
    </i>
    <i r="1">
      <x v="12"/>
      <x v="1"/>
    </i>
    <i r="1">
      <x v="13"/>
      <x v="1"/>
    </i>
    <i r="1">
      <x v="16"/>
      <x v="1"/>
    </i>
    <i r="1">
      <x v="17"/>
      <x v="2"/>
    </i>
    <i r="1">
      <x v="18"/>
      <x v="2"/>
    </i>
    <i r="1">
      <x v="22"/>
      <x v="2"/>
    </i>
    <i t="default">
      <x v="1"/>
    </i>
    <i>
      <x v="2"/>
      <x v="5"/>
      <x v="3"/>
    </i>
    <i r="1">
      <x v="8"/>
      <x v="3"/>
    </i>
    <i r="1">
      <x v="14"/>
      <x v="3"/>
    </i>
    <i r="2">
      <x v="4"/>
    </i>
    <i r="1">
      <x v="15"/>
      <x v="3"/>
    </i>
    <i r="1">
      <x v="19"/>
      <x v="3"/>
    </i>
    <i r="2">
      <x v="4"/>
    </i>
    <i r="1">
      <x v="20"/>
      <x v="4"/>
    </i>
    <i r="1">
      <x v="21"/>
      <x v="3"/>
    </i>
    <i t="default">
      <x v="2"/>
    </i>
    <i t="grand">
      <x/>
    </i>
  </rowItems>
  <colItems count="1">
    <i/>
  </colItem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FFFF00"/>
    <pageSetUpPr fitToPage="1"/>
  </sheetPr>
  <dimension ref="A1:AF113"/>
  <sheetViews>
    <sheetView showGridLines="0" zoomScaleNormal="100" workbookViewId="0">
      <pane ySplit="6" topLeftCell="A49" activePane="bottomLeft" state="frozen"/>
      <selection activeCell="C48" sqref="C48"/>
      <selection pane="bottomLeft" activeCell="B4" sqref="B4:G4"/>
    </sheetView>
  </sheetViews>
  <sheetFormatPr defaultColWidth="9.140625" defaultRowHeight="12.75" x14ac:dyDescent="0.2"/>
  <cols>
    <col min="1" max="1" width="2.140625" style="16" customWidth="1"/>
    <col min="2" max="2" width="7.28515625" style="16" customWidth="1"/>
    <col min="3" max="3" width="65" style="16" customWidth="1"/>
    <col min="4" max="7" width="11.5703125" style="16" customWidth="1"/>
    <col min="8" max="8" width="1" style="16" customWidth="1"/>
    <col min="9" max="9" width="13.28515625" bestFit="1" customWidth="1"/>
    <col min="10" max="10" width="13.28515625" style="16" bestFit="1" customWidth="1"/>
    <col min="11" max="16384" width="9.140625" style="16"/>
  </cols>
  <sheetData>
    <row r="1" spans="1:32" x14ac:dyDescent="0.2">
      <c r="A1" s="1"/>
      <c r="B1" s="2"/>
      <c r="C1" s="3"/>
      <c r="D1" s="4"/>
      <c r="E1" s="4"/>
      <c r="F1" s="4"/>
      <c r="G1" s="4"/>
      <c r="H1" s="1"/>
    </row>
    <row r="2" spans="1:32" ht="15.75" customHeight="1" x14ac:dyDescent="0.2">
      <c r="A2" s="5"/>
      <c r="B2" s="111" t="s">
        <v>28</v>
      </c>
      <c r="C2" s="112"/>
      <c r="D2" s="112"/>
      <c r="E2" s="112"/>
      <c r="F2" s="112"/>
      <c r="G2" s="112"/>
      <c r="H2" s="5"/>
    </row>
    <row r="3" spans="1:32" ht="19.899999999999999" customHeight="1" x14ac:dyDescent="0.2">
      <c r="A3" s="6"/>
      <c r="B3" s="113" t="s">
        <v>37</v>
      </c>
      <c r="C3" s="113"/>
      <c r="D3" s="113"/>
      <c r="E3" s="113"/>
      <c r="F3" s="113"/>
      <c r="G3" s="113"/>
      <c r="H3" s="6"/>
    </row>
    <row r="4" spans="1:32" ht="16.899999999999999" customHeight="1" x14ac:dyDescent="0.2">
      <c r="A4" s="11"/>
      <c r="B4" s="114" t="s">
        <v>338</v>
      </c>
      <c r="C4" s="114"/>
      <c r="D4" s="114"/>
      <c r="E4" s="114"/>
      <c r="F4" s="114"/>
      <c r="G4" s="114"/>
      <c r="H4" s="11"/>
    </row>
    <row r="5" spans="1:32" ht="7.9" customHeight="1" x14ac:dyDescent="0.2">
      <c r="A5" s="6"/>
      <c r="B5" s="58"/>
      <c r="C5" s="8"/>
      <c r="D5" s="9"/>
      <c r="E5" s="9"/>
      <c r="F5" s="9"/>
      <c r="G5" s="10"/>
      <c r="H5" s="6"/>
    </row>
    <row r="6" spans="1:32" ht="27.75" customHeight="1" x14ac:dyDescent="0.2">
      <c r="A6" s="12"/>
      <c r="B6" s="37" t="s">
        <v>1</v>
      </c>
      <c r="C6" s="38" t="s">
        <v>2</v>
      </c>
      <c r="D6" s="47" t="s">
        <v>3</v>
      </c>
      <c r="E6" s="47" t="s">
        <v>6</v>
      </c>
      <c r="F6" s="47" t="s">
        <v>4</v>
      </c>
      <c r="G6" s="47" t="s">
        <v>5</v>
      </c>
      <c r="H6" s="12"/>
    </row>
    <row r="7" spans="1:32" customFormat="1" ht="5.25" customHeight="1" x14ac:dyDescent="0.2">
      <c r="A7" s="13"/>
      <c r="B7" s="80"/>
      <c r="C7" s="15"/>
      <c r="D7" s="81"/>
      <c r="E7" s="81"/>
      <c r="F7" s="81"/>
      <c r="G7" s="81"/>
      <c r="H7" s="13"/>
    </row>
    <row r="8" spans="1:32" s="25" customFormat="1" ht="13.7" customHeight="1" x14ac:dyDescent="0.2">
      <c r="A8" s="23"/>
      <c r="B8" s="34">
        <v>20818</v>
      </c>
      <c r="C8" s="32" t="s">
        <v>14</v>
      </c>
      <c r="D8" s="46">
        <f>F8/(1-'Cálc. Reaj. 2018 - Mensal. 2017'!$M$4)</f>
        <v>294.41624365482232</v>
      </c>
      <c r="E8" s="46">
        <f>D8*'Cálc. Reaj. 2018 - Mensal. 2017'!$M$4</f>
        <v>4.4162436548223347</v>
      </c>
      <c r="F8" s="35">
        <f>'Premissas Aprovadas'!$D$4</f>
        <v>290</v>
      </c>
      <c r="G8" s="36">
        <f>'Cálc. Reaj. 2018 - Mensal. 2017'!L10</f>
        <v>18</v>
      </c>
      <c r="H8" s="23"/>
      <c r="I8" s="63"/>
      <c r="J8" s="57"/>
      <c r="L8" s="44"/>
      <c r="M8" s="44"/>
      <c r="N8" s="44"/>
      <c r="O8" s="44"/>
    </row>
    <row r="9" spans="1:32" s="31" customFormat="1" ht="13.7" customHeight="1" x14ac:dyDescent="0.2">
      <c r="A9" s="30"/>
      <c r="B9" s="34">
        <v>20821</v>
      </c>
      <c r="C9" s="32" t="s">
        <v>45</v>
      </c>
      <c r="D9" s="46">
        <f>F9/(1-'Cálc. Reaj. 2018 - Mensal. 2017'!$M$4)</f>
        <v>294.41624365482232</v>
      </c>
      <c r="E9" s="46">
        <f>D9*'Cálc. Reaj. 2018 - Mensal. 2017'!$M$4</f>
        <v>4.4162436548223347</v>
      </c>
      <c r="F9" s="35">
        <f>'Premissas Aprovadas'!$D$4</f>
        <v>290</v>
      </c>
      <c r="G9" s="36">
        <f>'Cálc. Reaj. 2018 - Mensal. 2017'!L11</f>
        <v>18</v>
      </c>
      <c r="H9" s="30"/>
      <c r="I9" s="63"/>
      <c r="J9" s="57"/>
      <c r="K9" s="25"/>
      <c r="L9" s="44"/>
      <c r="M9" s="44"/>
      <c r="N9" s="44"/>
      <c r="O9" s="44"/>
      <c r="AF9" s="25"/>
    </row>
    <row r="10" spans="1:32" s="25" customFormat="1" ht="13.7" customHeight="1" x14ac:dyDescent="0.2">
      <c r="A10" s="23"/>
      <c r="B10" s="34">
        <v>20575</v>
      </c>
      <c r="C10" s="32" t="s">
        <v>30</v>
      </c>
      <c r="D10" s="46">
        <f>F10/(1-'Cálc. Reaj. 2018 - Mensal. 2017'!$M$4)</f>
        <v>294.41624365482232</v>
      </c>
      <c r="E10" s="46">
        <f>D10*'Cálc. Reaj. 2018 - Mensal. 2017'!$M$4</f>
        <v>4.4162436548223347</v>
      </c>
      <c r="F10" s="35">
        <f>'Premissas Aprovadas'!$D$4</f>
        <v>290</v>
      </c>
      <c r="G10" s="36">
        <f>'Cálc. Reaj. 2018 - Mensal. 2017'!L12</f>
        <v>18</v>
      </c>
      <c r="H10" s="23"/>
      <c r="I10" s="63"/>
      <c r="J10" s="57"/>
      <c r="L10" s="44"/>
      <c r="M10" s="44"/>
      <c r="N10" s="44"/>
      <c r="O10" s="44"/>
    </row>
    <row r="11" spans="1:32" s="25" customFormat="1" ht="13.7" customHeight="1" x14ac:dyDescent="0.2">
      <c r="A11" s="23"/>
      <c r="B11" s="34">
        <v>20019</v>
      </c>
      <c r="C11" s="32" t="s">
        <v>12</v>
      </c>
      <c r="D11" s="46">
        <f>F11/(1-'Cálc. Reaj. 2018 - Mensal. 2017'!$M$4)</f>
        <v>294.41624365482232</v>
      </c>
      <c r="E11" s="46">
        <f>D11*'Cálc. Reaj. 2018 - Mensal. 2017'!$M$4</f>
        <v>4.4162436548223347</v>
      </c>
      <c r="F11" s="35">
        <f>'Premissas Aprovadas'!$D$4</f>
        <v>290</v>
      </c>
      <c r="G11" s="36">
        <f>'Cálc. Reaj. 2018 - Mensal. 2017'!L13</f>
        <v>18</v>
      </c>
      <c r="H11" s="23"/>
      <c r="I11" s="63"/>
      <c r="J11" s="57"/>
      <c r="L11" s="44"/>
      <c r="M11" s="44"/>
      <c r="N11" s="44"/>
      <c r="O11" s="44"/>
    </row>
    <row r="12" spans="1:32" s="25" customFormat="1" ht="13.7" customHeight="1" x14ac:dyDescent="0.2">
      <c r="A12" s="23"/>
      <c r="B12" s="54">
        <v>20822</v>
      </c>
      <c r="C12" s="32" t="s">
        <v>21</v>
      </c>
      <c r="D12" s="46">
        <f>F12/(1-'Cálc. Reaj. 2018 - Mensal. 2017'!$M$4)</f>
        <v>294.41624365482232</v>
      </c>
      <c r="E12" s="46">
        <f>D12*'Cálc. Reaj. 2018 - Mensal. 2017'!$M$4</f>
        <v>4.4162436548223347</v>
      </c>
      <c r="F12" s="35">
        <f>'Premissas Aprovadas'!$D$4</f>
        <v>290</v>
      </c>
      <c r="G12" s="36">
        <f>'Cálc. Reaj. 2018 - Mensal. 2017'!L14</f>
        <v>18</v>
      </c>
      <c r="H12" s="23"/>
      <c r="I12" s="63"/>
      <c r="J12" s="57"/>
      <c r="L12" s="44"/>
      <c r="M12" s="44"/>
      <c r="N12" s="44"/>
      <c r="O12" s="44"/>
    </row>
    <row r="13" spans="1:32" s="25" customFormat="1" ht="13.7" customHeight="1" x14ac:dyDescent="0.2">
      <c r="A13" s="23"/>
      <c r="B13" s="34">
        <v>20823</v>
      </c>
      <c r="C13" s="32" t="s">
        <v>27</v>
      </c>
      <c r="D13" s="46">
        <f>F13/(1-'Cálc. Reaj. 2018 - Mensal. 2017'!$M$4)</f>
        <v>294.41624365482232</v>
      </c>
      <c r="E13" s="46">
        <f>D13*'Cálc. Reaj. 2018 - Mensal. 2017'!$M$4</f>
        <v>4.4162436548223347</v>
      </c>
      <c r="F13" s="35">
        <f>'Premissas Aprovadas'!$D$4</f>
        <v>290</v>
      </c>
      <c r="G13" s="36">
        <f>'Cálc. Reaj. 2018 - Mensal. 2017'!L15</f>
        <v>18</v>
      </c>
      <c r="H13" s="23"/>
      <c r="I13" s="63"/>
      <c r="J13" s="57"/>
      <c r="L13" s="44"/>
      <c r="M13" s="44"/>
      <c r="N13" s="44"/>
      <c r="O13" s="44"/>
    </row>
    <row r="14" spans="1:32" s="25" customFormat="1" ht="13.7" customHeight="1" x14ac:dyDescent="0.2">
      <c r="A14" s="23"/>
      <c r="B14" s="54">
        <v>20824</v>
      </c>
      <c r="C14" s="32" t="s">
        <v>20</v>
      </c>
      <c r="D14" s="46">
        <f>F14/(1-'Cálc. Reaj. 2018 - Mensal. 2017'!$M$4)</f>
        <v>294.41624365482232</v>
      </c>
      <c r="E14" s="46">
        <f>D14*'Cálc. Reaj. 2018 - Mensal. 2017'!$M$4</f>
        <v>4.4162436548223347</v>
      </c>
      <c r="F14" s="35">
        <f>'Premissas Aprovadas'!$D$4</f>
        <v>290</v>
      </c>
      <c r="G14" s="36">
        <f>'Cálc. Reaj. 2018 - Mensal. 2017'!L16</f>
        <v>18</v>
      </c>
      <c r="H14" s="23"/>
      <c r="I14" s="63"/>
      <c r="J14" s="57"/>
      <c r="L14" s="44"/>
      <c r="M14" s="44"/>
      <c r="N14" s="44"/>
      <c r="O14" s="44"/>
    </row>
    <row r="15" spans="1:32" s="30" customFormat="1" ht="13.7" customHeight="1" x14ac:dyDescent="0.2">
      <c r="B15" s="54">
        <v>20831</v>
      </c>
      <c r="C15" s="32" t="s">
        <v>42</v>
      </c>
      <c r="D15" s="46">
        <f>F15/(1-'Cálc. Reaj. 2018 - Mensal. 2017'!$M$4)</f>
        <v>294.41624365482232</v>
      </c>
      <c r="E15" s="46">
        <f>D15*'Cálc. Reaj. 2018 - Mensal. 2017'!$M$4</f>
        <v>4.4162436548223347</v>
      </c>
      <c r="F15" s="35">
        <f>'Premissas Aprovadas'!$D$4</f>
        <v>290</v>
      </c>
      <c r="G15" s="36">
        <f>'Cálc. Reaj. 2018 - Mensal. 2017'!L17</f>
        <v>18</v>
      </c>
      <c r="I15" s="63"/>
      <c r="J15" s="57"/>
      <c r="L15" s="62"/>
      <c r="M15" s="62"/>
      <c r="N15" s="44"/>
      <c r="O15" s="44"/>
      <c r="AF15" s="25"/>
    </row>
    <row r="16" spans="1:32" s="25" customFormat="1" ht="13.7" customHeight="1" x14ac:dyDescent="0.2">
      <c r="A16" s="23"/>
      <c r="B16" s="54">
        <v>20825</v>
      </c>
      <c r="C16" s="32" t="s">
        <v>46</v>
      </c>
      <c r="D16" s="46">
        <f>F16/(1-'Cálc. Reaj. 2018 - Mensal. 2017'!$M$4)</f>
        <v>294.41624365482232</v>
      </c>
      <c r="E16" s="46">
        <f>D16*'Cálc. Reaj. 2018 - Mensal. 2017'!$M$4</f>
        <v>4.4162436548223347</v>
      </c>
      <c r="F16" s="35">
        <f>'Premissas Aprovadas'!$D$4</f>
        <v>290</v>
      </c>
      <c r="G16" s="36">
        <f>'Cálc. Reaj. 2018 - Mensal. 2017'!L18</f>
        <v>18</v>
      </c>
      <c r="H16" s="23"/>
      <c r="I16" s="63"/>
      <c r="J16" s="57"/>
      <c r="L16" s="44"/>
      <c r="M16" s="44"/>
      <c r="N16" s="44"/>
      <c r="O16" s="44"/>
    </row>
    <row r="17" spans="1:32" s="25" customFormat="1" ht="13.7" customHeight="1" x14ac:dyDescent="0.2">
      <c r="A17" s="23"/>
      <c r="B17" s="34">
        <v>20018</v>
      </c>
      <c r="C17" s="32" t="s">
        <v>11</v>
      </c>
      <c r="D17" s="46">
        <f>F17/(1-'Cálc. Reaj. 2018 - Mensal. 2017'!$M$4)</f>
        <v>294.41624365482232</v>
      </c>
      <c r="E17" s="46">
        <f>D17*'Cálc. Reaj. 2018 - Mensal. 2017'!$M$4</f>
        <v>4.4162436548223347</v>
      </c>
      <c r="F17" s="35">
        <f>'Premissas Aprovadas'!$D$4</f>
        <v>290</v>
      </c>
      <c r="G17" s="36">
        <f>'Cálc. Reaj. 2018 - Mensal. 2017'!L19</f>
        <v>18</v>
      </c>
      <c r="H17" s="23"/>
      <c r="I17" s="63"/>
      <c r="J17" s="57"/>
      <c r="L17" s="44"/>
      <c r="M17" s="44"/>
      <c r="N17" s="44"/>
      <c r="O17" s="44"/>
    </row>
    <row r="18" spans="1:32" s="25" customFormat="1" ht="13.7" customHeight="1" x14ac:dyDescent="0.2">
      <c r="A18" s="23"/>
      <c r="B18" s="54">
        <v>20826</v>
      </c>
      <c r="C18" s="32" t="s">
        <v>22</v>
      </c>
      <c r="D18" s="46">
        <f>F18/(1-'Cálc. Reaj. 2018 - Mensal. 2017'!$M$4)</f>
        <v>294.41624365482232</v>
      </c>
      <c r="E18" s="46">
        <f>D18*'Cálc. Reaj. 2018 - Mensal. 2017'!$M$4</f>
        <v>4.4162436548223347</v>
      </c>
      <c r="F18" s="35">
        <f>'Premissas Aprovadas'!$D$4</f>
        <v>290</v>
      </c>
      <c r="G18" s="36">
        <f>'Cálc. Reaj. 2018 - Mensal. 2017'!L20</f>
        <v>18</v>
      </c>
      <c r="H18" s="23"/>
      <c r="I18" s="63"/>
      <c r="J18" s="57"/>
      <c r="L18" s="44"/>
      <c r="M18" s="44"/>
      <c r="N18" s="44"/>
      <c r="O18" s="44"/>
    </row>
    <row r="19" spans="1:32" s="25" customFormat="1" ht="13.7" customHeight="1" x14ac:dyDescent="0.2">
      <c r="A19" s="23"/>
      <c r="B19" s="54">
        <v>20827</v>
      </c>
      <c r="C19" s="32" t="s">
        <v>24</v>
      </c>
      <c r="D19" s="46">
        <f>F19/(1-'Cálc. Reaj. 2018 - Mensal. 2017'!$M$4)</f>
        <v>294.41624365482232</v>
      </c>
      <c r="E19" s="46">
        <f>D19*'Cálc. Reaj. 2018 - Mensal. 2017'!$M$4</f>
        <v>4.4162436548223347</v>
      </c>
      <c r="F19" s="35">
        <f>'Premissas Aprovadas'!$D$4</f>
        <v>290</v>
      </c>
      <c r="G19" s="36">
        <f>'Cálc. Reaj. 2018 - Mensal. 2017'!L21</f>
        <v>18</v>
      </c>
      <c r="H19" s="23"/>
      <c r="I19" s="63"/>
      <c r="J19" s="57"/>
      <c r="L19" s="44"/>
      <c r="M19" s="44"/>
      <c r="N19" s="44"/>
      <c r="O19" s="44"/>
    </row>
    <row r="20" spans="1:32" s="25" customFormat="1" ht="13.7" customHeight="1" x14ac:dyDescent="0.2">
      <c r="A20" s="45"/>
      <c r="B20" s="34">
        <v>20010</v>
      </c>
      <c r="C20" s="32" t="s">
        <v>8</v>
      </c>
      <c r="D20" s="46">
        <f>F20/(1-'Cálc. Reaj. 2018 - Mensal. 2017'!$M$4)</f>
        <v>294.41624365482232</v>
      </c>
      <c r="E20" s="46">
        <f>D20*'Cálc. Reaj. 2018 - Mensal. 2017'!$M$4</f>
        <v>4.4162436548223347</v>
      </c>
      <c r="F20" s="35">
        <f>'Premissas Aprovadas'!$D$4</f>
        <v>290</v>
      </c>
      <c r="G20" s="36">
        <f>'Cálc. Reaj. 2018 - Mensal. 2017'!L22</f>
        <v>18</v>
      </c>
      <c r="H20" s="45"/>
      <c r="I20" s="63"/>
      <c r="J20" s="57"/>
      <c r="L20" s="44"/>
      <c r="M20" s="44"/>
      <c r="N20" s="44"/>
      <c r="O20" s="44"/>
    </row>
    <row r="21" spans="1:32" s="25" customFormat="1" ht="13.7" customHeight="1" x14ac:dyDescent="0.2">
      <c r="A21" s="23"/>
      <c r="B21" s="54">
        <v>20828</v>
      </c>
      <c r="C21" s="32" t="s">
        <v>25</v>
      </c>
      <c r="D21" s="46">
        <f>F21/(1-'Cálc. Reaj. 2018 - Mensal. 2017'!$M$4)</f>
        <v>294.41624365482232</v>
      </c>
      <c r="E21" s="46">
        <f>D21*'Cálc. Reaj. 2018 - Mensal. 2017'!$M$4</f>
        <v>4.4162436548223347</v>
      </c>
      <c r="F21" s="35">
        <f>'Premissas Aprovadas'!$D$4</f>
        <v>290</v>
      </c>
      <c r="G21" s="36">
        <f>'Cálc. Reaj. 2018 - Mensal. 2017'!L23</f>
        <v>18</v>
      </c>
      <c r="H21" s="23"/>
      <c r="I21" s="63"/>
      <c r="J21" s="57"/>
      <c r="L21" s="44"/>
      <c r="M21" s="44"/>
      <c r="N21" s="44"/>
      <c r="O21" s="44"/>
    </row>
    <row r="22" spans="1:32" s="25" customFormat="1" ht="13.7" customHeight="1" x14ac:dyDescent="0.2">
      <c r="A22" s="23"/>
      <c r="B22" s="34">
        <v>20015</v>
      </c>
      <c r="C22" s="32" t="s">
        <v>47</v>
      </c>
      <c r="D22" s="46">
        <f>F22/(1-'Cálc. Reaj. 2018 - Mensal. 2017'!$M$4)</f>
        <v>294.41624365482232</v>
      </c>
      <c r="E22" s="46">
        <f>D22*'Cálc. Reaj. 2018 - Mensal. 2017'!$M$4</f>
        <v>4.4162436548223347</v>
      </c>
      <c r="F22" s="35">
        <f>'Premissas Aprovadas'!$D$4</f>
        <v>290</v>
      </c>
      <c r="G22" s="36">
        <f>'Cálc. Reaj. 2018 - Mensal. 2017'!L24</f>
        <v>18</v>
      </c>
      <c r="H22" s="23"/>
      <c r="I22" s="63"/>
      <c r="J22" s="57"/>
      <c r="L22" s="44"/>
      <c r="M22" s="44"/>
      <c r="N22" s="44"/>
      <c r="O22" s="44"/>
    </row>
    <row r="23" spans="1:32" s="25" customFormat="1" ht="13.7" customHeight="1" x14ac:dyDescent="0.2">
      <c r="A23" s="23"/>
      <c r="B23" s="34">
        <v>20027</v>
      </c>
      <c r="C23" s="32" t="s">
        <v>16</v>
      </c>
      <c r="D23" s="46">
        <f>F23/(1-'Cálc. Reaj. 2018 - Mensal. 2017'!$M$4)</f>
        <v>294.41624365482232</v>
      </c>
      <c r="E23" s="46">
        <f>D23*'Cálc. Reaj. 2018 - Mensal. 2017'!$M$4</f>
        <v>4.4162436548223347</v>
      </c>
      <c r="F23" s="35">
        <f>'Premissas Aprovadas'!$D$4</f>
        <v>290</v>
      </c>
      <c r="G23" s="36">
        <f>'Cálc. Reaj. 2018 - Mensal. 2017'!L25</f>
        <v>18</v>
      </c>
      <c r="H23" s="23"/>
      <c r="I23" s="63"/>
      <c r="J23" s="57"/>
      <c r="L23" s="44"/>
      <c r="M23" s="44"/>
      <c r="N23" s="44"/>
      <c r="O23" s="44"/>
    </row>
    <row r="24" spans="1:32" s="25" customFormat="1" ht="13.7" customHeight="1" x14ac:dyDescent="0.2">
      <c r="A24" s="23"/>
      <c r="B24" s="34">
        <v>20729</v>
      </c>
      <c r="C24" s="32" t="s">
        <v>9</v>
      </c>
      <c r="D24" s="46">
        <f>F24/(1-'Cálc. Reaj. 2018 - Mensal. 2017'!$M$4)</f>
        <v>294.41624365482232</v>
      </c>
      <c r="E24" s="46">
        <f>D24*'Cálc. Reaj. 2018 - Mensal. 2017'!$M$4</f>
        <v>4.4162436548223347</v>
      </c>
      <c r="F24" s="35">
        <f>'Premissas Aprovadas'!$D$4</f>
        <v>290</v>
      </c>
      <c r="G24" s="36">
        <f>'Cálc. Reaj. 2018 - Mensal. 2017'!L26</f>
        <v>18</v>
      </c>
      <c r="H24" s="23"/>
      <c r="I24" s="63"/>
      <c r="J24" s="57"/>
      <c r="L24" s="44"/>
      <c r="M24" s="44"/>
      <c r="N24" s="44"/>
      <c r="O24" s="44"/>
    </row>
    <row r="25" spans="1:32" s="25" customFormat="1" ht="13.7" customHeight="1" x14ac:dyDescent="0.2">
      <c r="A25" s="23"/>
      <c r="B25" s="34">
        <v>20830</v>
      </c>
      <c r="C25" s="32" t="s">
        <v>19</v>
      </c>
      <c r="D25" s="46">
        <f>F25/(1-'Cálc. Reaj. 2018 - Mensal. 2017'!$M$4)</f>
        <v>294.41624365482232</v>
      </c>
      <c r="E25" s="46">
        <f>D25*'Cálc. Reaj. 2018 - Mensal. 2017'!$M$4</f>
        <v>4.4162436548223347</v>
      </c>
      <c r="F25" s="35">
        <f>'Premissas Aprovadas'!$D$4</f>
        <v>290</v>
      </c>
      <c r="G25" s="36">
        <f>'Cálc. Reaj. 2018 - Mensal. 2017'!L27</f>
        <v>18</v>
      </c>
      <c r="H25" s="23"/>
      <c r="I25" s="63"/>
      <c r="J25" s="57"/>
      <c r="L25" s="44"/>
      <c r="M25" s="44"/>
      <c r="N25" s="44"/>
      <c r="O25" s="44"/>
    </row>
    <row r="26" spans="1:32" s="25" customFormat="1" ht="13.7" customHeight="1" x14ac:dyDescent="0.2">
      <c r="A26" s="23"/>
      <c r="B26" s="34">
        <v>20007</v>
      </c>
      <c r="C26" s="32" t="s">
        <v>7</v>
      </c>
      <c r="D26" s="46">
        <f>F26/(1-'Cálc. Reaj. 2018 - Mensal. 2017'!$M$4)</f>
        <v>294.41624365482232</v>
      </c>
      <c r="E26" s="46">
        <f>D26*'Cálc. Reaj. 2018 - Mensal. 2017'!$M$4</f>
        <v>4.4162436548223347</v>
      </c>
      <c r="F26" s="35">
        <f>'Premissas Aprovadas'!$D$4</f>
        <v>290</v>
      </c>
      <c r="G26" s="36">
        <f>'Cálc. Reaj. 2018 - Mensal. 2017'!L28</f>
        <v>18</v>
      </c>
      <c r="H26" s="23"/>
      <c r="I26" s="63"/>
      <c r="J26" s="57"/>
      <c r="L26" s="44"/>
      <c r="M26" s="44"/>
      <c r="N26" s="44"/>
      <c r="O26" s="44"/>
    </row>
    <row r="27" spans="1:32" s="30" customFormat="1" ht="13.7" customHeight="1" x14ac:dyDescent="0.2">
      <c r="B27" s="34">
        <v>20833</v>
      </c>
      <c r="C27" s="32" t="s">
        <v>43</v>
      </c>
      <c r="D27" s="46">
        <f>F27/(1-'Cálc. Reaj. 2018 - Mensal. 2017'!$M$4)</f>
        <v>294.41624365482232</v>
      </c>
      <c r="E27" s="46">
        <f>D27*'Cálc. Reaj. 2018 - Mensal. 2017'!$M$4</f>
        <v>4.4162436548223347</v>
      </c>
      <c r="F27" s="35">
        <f>'Premissas Aprovadas'!$D$4</f>
        <v>290</v>
      </c>
      <c r="G27" s="36">
        <f>'Cálc. Reaj. 2018 - Mensal. 2017'!L29</f>
        <v>18</v>
      </c>
      <c r="I27" s="63"/>
      <c r="J27" s="57"/>
      <c r="L27" s="62"/>
      <c r="M27" s="62"/>
      <c r="N27" s="44"/>
      <c r="O27" s="44"/>
      <c r="AF27" s="25"/>
    </row>
    <row r="28" spans="1:32" s="25" customFormat="1" ht="13.7" customHeight="1" x14ac:dyDescent="0.2">
      <c r="A28" s="23"/>
      <c r="B28" s="34">
        <v>20817</v>
      </c>
      <c r="C28" s="32" t="s">
        <v>17</v>
      </c>
      <c r="D28" s="46">
        <f>F28/(1-'Cálc. Reaj. 2018 - Mensal. 2017'!$M$4)</f>
        <v>294.41624365482232</v>
      </c>
      <c r="E28" s="46">
        <f>D28*'Cálc. Reaj. 2018 - Mensal. 2017'!$M$4</f>
        <v>4.4162436548223347</v>
      </c>
      <c r="F28" s="35">
        <f>'Premissas Aprovadas'!$D$4</f>
        <v>290</v>
      </c>
      <c r="G28" s="36">
        <f>'Cálc. Reaj. 2018 - Mensal. 2017'!L30</f>
        <v>18</v>
      </c>
      <c r="H28" s="23"/>
      <c r="I28" s="63"/>
      <c r="J28" s="57"/>
      <c r="L28" s="44"/>
      <c r="M28" s="44"/>
      <c r="N28" s="44"/>
      <c r="O28" s="44"/>
    </row>
    <row r="29" spans="1:32" s="25" customFormat="1" ht="13.7" customHeight="1" x14ac:dyDescent="0.2">
      <c r="A29" s="23"/>
      <c r="B29" s="34">
        <v>20012</v>
      </c>
      <c r="C29" s="32" t="s">
        <v>13</v>
      </c>
      <c r="D29" s="46">
        <f>F29/(1-'Cálc. Reaj. 2018 - Mensal. 2017'!$M$4)</f>
        <v>294.41624365482232</v>
      </c>
      <c r="E29" s="46">
        <f>D29*'Cálc. Reaj. 2018 - Mensal. 2017'!$M$4</f>
        <v>4.4162436548223347</v>
      </c>
      <c r="F29" s="35">
        <f>'Premissas Aprovadas'!$D$4</f>
        <v>290</v>
      </c>
      <c r="G29" s="36">
        <f>'Cálc. Reaj. 2018 - Mensal. 2017'!L31</f>
        <v>18</v>
      </c>
      <c r="H29" s="23"/>
      <c r="I29" s="63"/>
      <c r="J29" s="57"/>
      <c r="L29" s="44"/>
      <c r="M29" s="44"/>
      <c r="N29" s="44"/>
      <c r="O29" s="44"/>
    </row>
    <row r="30" spans="1:32" s="25" customFormat="1" ht="13.7" customHeight="1" x14ac:dyDescent="0.2">
      <c r="A30" s="23"/>
      <c r="B30" s="34">
        <v>20816</v>
      </c>
      <c r="C30" s="32" t="s">
        <v>18</v>
      </c>
      <c r="D30" s="46">
        <f>F30/(1-'Cálc. Reaj. 2018 - Mensal. 2017'!$M$4)</f>
        <v>294.41624365482232</v>
      </c>
      <c r="E30" s="46">
        <f>D30*'Cálc. Reaj. 2018 - Mensal. 2017'!$M$4</f>
        <v>4.4162436548223347</v>
      </c>
      <c r="F30" s="35">
        <f>'Premissas Aprovadas'!$D$4</f>
        <v>290</v>
      </c>
      <c r="G30" s="36">
        <f>'Cálc. Reaj. 2018 - Mensal. 2017'!L32</f>
        <v>18</v>
      </c>
      <c r="H30" s="23"/>
      <c r="I30" s="63"/>
      <c r="J30" s="57"/>
      <c r="L30" s="44"/>
      <c r="M30" s="44"/>
      <c r="N30" s="44"/>
      <c r="O30" s="44"/>
    </row>
    <row r="31" spans="1:32" s="30" customFormat="1" ht="13.7" customHeight="1" x14ac:dyDescent="0.2">
      <c r="B31" s="54">
        <v>20026</v>
      </c>
      <c r="C31" s="32" t="s">
        <v>41</v>
      </c>
      <c r="D31" s="46">
        <f>F31/(1-'Cálc. Reaj. 2018 - Mensal. 2017'!$M$4)</f>
        <v>294.41624365482232</v>
      </c>
      <c r="E31" s="46">
        <f>D31*'Cálc. Reaj. 2018 - Mensal. 2017'!$M$4</f>
        <v>4.4162436548223347</v>
      </c>
      <c r="F31" s="35">
        <f>'Premissas Aprovadas'!$D$4</f>
        <v>290</v>
      </c>
      <c r="G31" s="36">
        <f>'Cálc. Reaj. 2018 - Mensal. 2017'!L33</f>
        <v>18</v>
      </c>
      <c r="I31" s="63"/>
      <c r="J31" s="57"/>
      <c r="L31" s="62"/>
      <c r="M31" s="62"/>
      <c r="N31" s="44"/>
      <c r="O31" s="44"/>
      <c r="AF31" s="25"/>
    </row>
    <row r="32" spans="1:32" s="25" customFormat="1" ht="13.7" customHeight="1" x14ac:dyDescent="0.2">
      <c r="A32" s="23"/>
      <c r="B32" s="34">
        <v>20022</v>
      </c>
      <c r="C32" s="32" t="s">
        <v>48</v>
      </c>
      <c r="D32" s="46">
        <f>F32/(1-'Cálc. Reaj. 2018 - Mensal. 2017'!$M$4)</f>
        <v>294.41624365482232</v>
      </c>
      <c r="E32" s="46">
        <f>D32*'Cálc. Reaj. 2018 - Mensal. 2017'!$M$4</f>
        <v>4.4162436548223347</v>
      </c>
      <c r="F32" s="35">
        <f>'Premissas Aprovadas'!$D$4</f>
        <v>290</v>
      </c>
      <c r="G32" s="36">
        <f>'Cálc. Reaj. 2018 - Mensal. 2017'!L34</f>
        <v>18</v>
      </c>
      <c r="H32" s="23"/>
      <c r="I32" s="63"/>
      <c r="J32" s="57"/>
      <c r="L32" s="44"/>
      <c r="M32" s="44"/>
      <c r="N32" s="44"/>
      <c r="O32" s="44"/>
    </row>
    <row r="33" spans="1:32" s="25" customFormat="1" ht="13.7" customHeight="1" x14ac:dyDescent="0.2">
      <c r="A33" s="23"/>
      <c r="B33" s="34">
        <v>20031</v>
      </c>
      <c r="C33" s="32" t="s">
        <v>23</v>
      </c>
      <c r="D33" s="46">
        <f>F33/(1-'Cálc. Reaj. 2018 - Mensal. 2017'!$M$4)</f>
        <v>294.41624365482232</v>
      </c>
      <c r="E33" s="46">
        <f>D33*'Cálc. Reaj. 2018 - Mensal. 2017'!$M$4</f>
        <v>4.4162436548223347</v>
      </c>
      <c r="F33" s="35">
        <f>'Premissas Aprovadas'!$D$4</f>
        <v>290</v>
      </c>
      <c r="G33" s="36">
        <f>'Cálc. Reaj. 2018 - Mensal. 2017'!L35</f>
        <v>18</v>
      </c>
      <c r="H33" s="23"/>
      <c r="I33" s="63"/>
      <c r="J33" s="57"/>
      <c r="L33" s="44"/>
      <c r="M33" s="44"/>
      <c r="N33" s="44"/>
      <c r="O33" s="44"/>
    </row>
    <row r="34" spans="1:32" s="30" customFormat="1" ht="13.7" customHeight="1" x14ac:dyDescent="0.2">
      <c r="B34" s="34">
        <v>20832</v>
      </c>
      <c r="C34" s="32" t="s">
        <v>44</v>
      </c>
      <c r="D34" s="46">
        <f>F34/(1-'Cálc. Reaj. 2018 - Mensal. 2017'!$M$4)</f>
        <v>294.41624365482232</v>
      </c>
      <c r="E34" s="46">
        <f>D34*'Cálc. Reaj. 2018 - Mensal. 2017'!$M$4</f>
        <v>4.4162436548223347</v>
      </c>
      <c r="F34" s="35">
        <f>'Premissas Aprovadas'!$D$4</f>
        <v>290</v>
      </c>
      <c r="G34" s="36">
        <f>'Cálc. Reaj. 2018 - Mensal. 2017'!L36</f>
        <v>18</v>
      </c>
      <c r="I34" s="63"/>
      <c r="J34" s="57"/>
      <c r="L34" s="62"/>
      <c r="M34" s="62"/>
      <c r="N34" s="44"/>
      <c r="O34" s="44"/>
      <c r="AF34" s="25"/>
    </row>
    <row r="35" spans="1:32" s="25" customFormat="1" ht="13.7" customHeight="1" x14ac:dyDescent="0.2">
      <c r="A35" s="45"/>
      <c r="B35" s="34">
        <v>20801</v>
      </c>
      <c r="C35" s="32" t="s">
        <v>10</v>
      </c>
      <c r="D35" s="46">
        <f>F35/(1-'Cálc. Reaj. 2018 - Mensal. 2017'!$M$4)</f>
        <v>294.41624365482232</v>
      </c>
      <c r="E35" s="46">
        <f>D35*'Cálc. Reaj. 2018 - Mensal. 2017'!$M$4</f>
        <v>4.4162436548223347</v>
      </c>
      <c r="F35" s="35">
        <f>'Premissas Aprovadas'!$D$4</f>
        <v>290</v>
      </c>
      <c r="G35" s="36">
        <f>'Cálc. Reaj. 2018 - Mensal. 2017'!L37</f>
        <v>18</v>
      </c>
      <c r="H35" s="23"/>
      <c r="I35" s="63"/>
      <c r="J35" s="57"/>
      <c r="L35" s="44"/>
      <c r="M35" s="44"/>
      <c r="N35" s="44"/>
      <c r="O35" s="44"/>
    </row>
    <row r="36" spans="1:32" s="25" customFormat="1" ht="13.7" customHeight="1" x14ac:dyDescent="0.2">
      <c r="A36" s="45"/>
      <c r="B36" s="54">
        <v>20023</v>
      </c>
      <c r="C36" s="32" t="s">
        <v>49</v>
      </c>
      <c r="D36" s="46">
        <f>F36/(1-'Cálc. Reaj. 2018 - Mensal. 2017'!$M$4)</f>
        <v>294.42</v>
      </c>
      <c r="E36" s="46">
        <f>D36-F36</f>
        <v>4.4162999999999784</v>
      </c>
      <c r="F36" s="35">
        <f>[1]Orçamento!$I$70</f>
        <v>290.00370000000004</v>
      </c>
      <c r="G36" s="36">
        <f>'[1]Dados do Curso'!$H$13</f>
        <v>18</v>
      </c>
      <c r="H36" s="23"/>
      <c r="I36" s="63"/>
      <c r="J36" s="57"/>
      <c r="L36" s="44"/>
      <c r="M36" s="44"/>
      <c r="N36" s="44"/>
      <c r="O36" s="44"/>
    </row>
    <row r="37" spans="1:32" s="25" customFormat="1" ht="13.7" customHeight="1" x14ac:dyDescent="0.2">
      <c r="A37" s="45"/>
      <c r="B37" s="102" t="s">
        <v>375</v>
      </c>
      <c r="C37" s="32" t="s">
        <v>363</v>
      </c>
      <c r="D37" s="46">
        <f>F37/(1-'Cálc. Reaj. 2018 - Mensal. 2017'!$M$4)</f>
        <v>294.42</v>
      </c>
      <c r="E37" s="46">
        <f t="shared" ref="E37:E65" si="0">D37-F37</f>
        <v>4.4162999999999784</v>
      </c>
      <c r="F37" s="35">
        <f>[2]Orçamento!$I$70</f>
        <v>290.00370000000004</v>
      </c>
      <c r="G37" s="36">
        <f>'[2]Dados do Curso'!$H$13</f>
        <v>18</v>
      </c>
      <c r="H37" s="23"/>
      <c r="I37" s="63"/>
      <c r="J37" s="57"/>
      <c r="L37" s="44"/>
      <c r="M37" s="44"/>
    </row>
    <row r="38" spans="1:32" s="25" customFormat="1" ht="13.7" customHeight="1" x14ac:dyDescent="0.2">
      <c r="A38" s="45"/>
      <c r="B38" s="102" t="s">
        <v>375</v>
      </c>
      <c r="C38" s="32" t="s">
        <v>364</v>
      </c>
      <c r="D38" s="46">
        <f>F38/(1-'Cálc. Reaj. 2018 - Mensal. 2017'!$M$4)</f>
        <v>294.42</v>
      </c>
      <c r="E38" s="46">
        <f t="shared" si="0"/>
        <v>4.4162999999999784</v>
      </c>
      <c r="F38" s="35">
        <f>[3]Orçamento!$I$70</f>
        <v>290.00370000000004</v>
      </c>
      <c r="G38" s="36">
        <f>'[3]Dados do Curso'!$H$13</f>
        <v>18</v>
      </c>
      <c r="H38" s="23"/>
      <c r="I38" s="63"/>
      <c r="J38" s="57"/>
      <c r="L38" s="44"/>
      <c r="M38" s="44"/>
    </row>
    <row r="39" spans="1:32" s="25" customFormat="1" ht="13.7" customHeight="1" x14ac:dyDescent="0.2">
      <c r="A39" s="45"/>
      <c r="B39" s="102" t="s">
        <v>375</v>
      </c>
      <c r="C39" s="32" t="s">
        <v>365</v>
      </c>
      <c r="D39" s="46">
        <f>F39/(1-'Cálc. Reaj. 2018 - Mensal. 2017'!$M$4)</f>
        <v>294.42</v>
      </c>
      <c r="E39" s="46">
        <f t="shared" si="0"/>
        <v>4.4162999999999784</v>
      </c>
      <c r="F39" s="35">
        <f>[4]Orçamento!$I$70</f>
        <v>290.00370000000004</v>
      </c>
      <c r="G39" s="36">
        <f>'[4]Dados do Curso'!$H$13</f>
        <v>18</v>
      </c>
      <c r="H39" s="23"/>
      <c r="I39" s="63"/>
      <c r="J39" s="57"/>
      <c r="L39" s="44"/>
      <c r="M39" s="44"/>
    </row>
    <row r="40" spans="1:32" s="25" customFormat="1" ht="13.7" customHeight="1" x14ac:dyDescent="0.2">
      <c r="A40" s="45"/>
      <c r="B40" s="102" t="s">
        <v>375</v>
      </c>
      <c r="C40" s="32" t="s">
        <v>366</v>
      </c>
      <c r="D40" s="46">
        <f>F40/(1-'Cálc. Reaj. 2018 - Mensal. 2017'!$M$4)</f>
        <v>294.42</v>
      </c>
      <c r="E40" s="46">
        <f t="shared" si="0"/>
        <v>4.4162999999999784</v>
      </c>
      <c r="F40" s="35">
        <f>[5]Orçamento!$I$70</f>
        <v>290.00370000000004</v>
      </c>
      <c r="G40" s="36">
        <f>'[5]Dados do Curso'!$H$13</f>
        <v>18</v>
      </c>
      <c r="H40" s="23"/>
      <c r="I40" s="63"/>
      <c r="J40" s="57"/>
      <c r="L40" s="44"/>
      <c r="M40" s="44"/>
    </row>
    <row r="41" spans="1:32" s="25" customFormat="1" ht="13.7" customHeight="1" x14ac:dyDescent="0.2">
      <c r="A41" s="45"/>
      <c r="B41" s="102" t="s">
        <v>375</v>
      </c>
      <c r="C41" s="32" t="s">
        <v>367</v>
      </c>
      <c r="D41" s="46">
        <f>F41/(1-'Cálc. Reaj. 2018 - Mensal. 2017'!$M$4)</f>
        <v>294.42</v>
      </c>
      <c r="E41" s="46">
        <f t="shared" si="0"/>
        <v>4.4162999999999784</v>
      </c>
      <c r="F41" s="35">
        <f>[6]Orçamento!$I$70</f>
        <v>290.00370000000004</v>
      </c>
      <c r="G41" s="36">
        <f>'[6]Dados do Curso'!$H$13</f>
        <v>18</v>
      </c>
      <c r="H41" s="23"/>
      <c r="I41" s="63"/>
      <c r="J41" s="57"/>
      <c r="L41" s="44"/>
      <c r="M41" s="44"/>
    </row>
    <row r="42" spans="1:32" s="25" customFormat="1" ht="13.7" customHeight="1" x14ac:dyDescent="0.2">
      <c r="A42" s="45"/>
      <c r="B42" s="102" t="s">
        <v>375</v>
      </c>
      <c r="C42" s="32" t="s">
        <v>368</v>
      </c>
      <c r="D42" s="46">
        <f>F42/(1-'Cálc. Reaj. 2018 - Mensal. 2017'!$M$4)</f>
        <v>294.42</v>
      </c>
      <c r="E42" s="46">
        <f t="shared" si="0"/>
        <v>4.4162999999999784</v>
      </c>
      <c r="F42" s="35">
        <f>[7]Orçamento!$I$70</f>
        <v>290.00370000000004</v>
      </c>
      <c r="G42" s="36">
        <f>'[7]Dados do Curso'!$H$13</f>
        <v>18</v>
      </c>
      <c r="H42" s="23"/>
      <c r="I42" s="63"/>
      <c r="J42" s="57"/>
      <c r="L42" s="44"/>
      <c r="M42" s="44"/>
    </row>
    <row r="43" spans="1:32" s="25" customFormat="1" ht="13.7" customHeight="1" x14ac:dyDescent="0.2">
      <c r="A43" s="45"/>
      <c r="B43" s="102" t="s">
        <v>375</v>
      </c>
      <c r="C43" s="32" t="s">
        <v>369</v>
      </c>
      <c r="D43" s="46">
        <f>F43/(1-'Cálc. Reaj. 2018 - Mensal. 2017'!$M$4)</f>
        <v>294.42</v>
      </c>
      <c r="E43" s="46">
        <f t="shared" si="0"/>
        <v>4.4162999999999784</v>
      </c>
      <c r="F43" s="35">
        <f>[8]Orçamento!$I$70</f>
        <v>290.00370000000004</v>
      </c>
      <c r="G43" s="36">
        <f>'[8]Dados do Curso'!$H$13</f>
        <v>18</v>
      </c>
      <c r="H43" s="23"/>
      <c r="I43" s="63"/>
      <c r="J43" s="57"/>
      <c r="L43" s="44"/>
      <c r="M43" s="44"/>
    </row>
    <row r="44" spans="1:32" s="25" customFormat="1" ht="13.7" customHeight="1" x14ac:dyDescent="0.2">
      <c r="A44" s="45"/>
      <c r="B44" s="102" t="s">
        <v>375</v>
      </c>
      <c r="C44" s="32" t="s">
        <v>370</v>
      </c>
      <c r="D44" s="46">
        <f>F44/(1-'Cálc. Reaj. 2018 - Mensal. 2017'!$M$4)</f>
        <v>294.42</v>
      </c>
      <c r="E44" s="46">
        <f t="shared" si="0"/>
        <v>4.4162999999999784</v>
      </c>
      <c r="F44" s="35">
        <f>[9]Orçamento!$I$70</f>
        <v>290.00370000000004</v>
      </c>
      <c r="G44" s="36">
        <f>'[9]Dados do Curso'!$H$13</f>
        <v>18</v>
      </c>
      <c r="H44" s="23"/>
      <c r="I44" s="63"/>
      <c r="J44" s="57"/>
      <c r="L44" s="44"/>
      <c r="M44" s="44"/>
    </row>
    <row r="45" spans="1:32" s="25" customFormat="1" ht="13.7" customHeight="1" x14ac:dyDescent="0.2">
      <c r="A45" s="45"/>
      <c r="B45" s="102" t="s">
        <v>375</v>
      </c>
      <c r="C45" s="32" t="s">
        <v>371</v>
      </c>
      <c r="D45" s="46">
        <f>F45/(1-'Cálc. Reaj. 2018 - Mensal. 2017'!$M$4)</f>
        <v>294.42</v>
      </c>
      <c r="E45" s="46">
        <f t="shared" si="0"/>
        <v>4.4162999999999784</v>
      </c>
      <c r="F45" s="35">
        <f>[10]Orçamento!$I$70</f>
        <v>290.00370000000004</v>
      </c>
      <c r="G45" s="36">
        <f>'[10]Dados do Curso'!$H$13</f>
        <v>18</v>
      </c>
      <c r="H45" s="23"/>
      <c r="I45" s="63"/>
      <c r="J45" s="57"/>
      <c r="L45" s="44"/>
      <c r="M45" s="44"/>
    </row>
    <row r="46" spans="1:32" s="25" customFormat="1" ht="13.7" customHeight="1" x14ac:dyDescent="0.2">
      <c r="A46" s="45"/>
      <c r="B46" s="102" t="s">
        <v>375</v>
      </c>
      <c r="C46" s="32" t="s">
        <v>372</v>
      </c>
      <c r="D46" s="46">
        <f>F46/(1-'Cálc. Reaj. 2018 - Mensal. 2017'!$M$4)</f>
        <v>294.42</v>
      </c>
      <c r="E46" s="46">
        <f t="shared" si="0"/>
        <v>4.4162999999999784</v>
      </c>
      <c r="F46" s="35">
        <f>[11]Orçamento!$I$70</f>
        <v>290.00370000000004</v>
      </c>
      <c r="G46" s="36">
        <f>'[11]Dados do Curso'!$H$13</f>
        <v>18</v>
      </c>
      <c r="H46" s="23"/>
      <c r="I46" s="63"/>
      <c r="J46" s="57"/>
      <c r="L46" s="44"/>
      <c r="M46" s="44"/>
    </row>
    <row r="47" spans="1:32" s="25" customFormat="1" ht="13.7" customHeight="1" x14ac:dyDescent="0.2">
      <c r="A47" s="45"/>
      <c r="B47" s="102" t="s">
        <v>375</v>
      </c>
      <c r="C47" s="32" t="s">
        <v>373</v>
      </c>
      <c r="D47" s="46">
        <f>F47/(1-'Cálc. Reaj. 2018 - Mensal. 2017'!$M$4)</f>
        <v>294.42</v>
      </c>
      <c r="E47" s="46">
        <f t="shared" si="0"/>
        <v>4.4162999999999784</v>
      </c>
      <c r="F47" s="35">
        <f>[12]Orçamento!$I$70</f>
        <v>290.00370000000004</v>
      </c>
      <c r="G47" s="36">
        <f>'[12]Dados do Curso'!$H$13</f>
        <v>18</v>
      </c>
      <c r="H47" s="23"/>
      <c r="I47" s="63"/>
      <c r="J47" s="57"/>
      <c r="L47" s="44"/>
      <c r="M47" s="44"/>
    </row>
    <row r="48" spans="1:32" s="25" customFormat="1" ht="13.7" customHeight="1" x14ac:dyDescent="0.2">
      <c r="A48" s="45"/>
      <c r="B48" s="102" t="s">
        <v>375</v>
      </c>
      <c r="C48" s="32" t="s">
        <v>374</v>
      </c>
      <c r="D48" s="46">
        <f>F48/(1-'Cálc. Reaj. 2018 - Mensal. 2017'!$M$4)</f>
        <v>294.42</v>
      </c>
      <c r="E48" s="46">
        <f t="shared" si="0"/>
        <v>4.4162999999999784</v>
      </c>
      <c r="F48" s="35">
        <f>[13]Orçamento!$I$70</f>
        <v>290.00370000000004</v>
      </c>
      <c r="G48" s="36">
        <f>'[13]Dados do Curso'!$H$13</f>
        <v>18</v>
      </c>
      <c r="H48" s="23"/>
      <c r="I48" s="63"/>
      <c r="J48" s="57"/>
      <c r="L48" s="44"/>
      <c r="M48" s="44"/>
    </row>
    <row r="49" spans="1:13" s="25" customFormat="1" ht="13.7" customHeight="1" x14ac:dyDescent="0.2">
      <c r="A49" s="45"/>
      <c r="B49" s="102" t="s">
        <v>375</v>
      </c>
      <c r="C49" s="32" t="s">
        <v>377</v>
      </c>
      <c r="D49" s="46">
        <f>F49/(1-'Cálc. Reaj. 2018 - Mensal. 2017'!$M$4)</f>
        <v>294.42</v>
      </c>
      <c r="E49" s="46">
        <f t="shared" si="0"/>
        <v>4.4162999999999784</v>
      </c>
      <c r="F49" s="35">
        <f>[13]Orçamento!$I$70</f>
        <v>290.00370000000004</v>
      </c>
      <c r="G49" s="36">
        <f>'[13]Dados do Curso'!$H$13</f>
        <v>18</v>
      </c>
      <c r="H49" s="23"/>
      <c r="I49" s="63"/>
      <c r="J49" s="57"/>
    </row>
    <row r="50" spans="1:13" s="25" customFormat="1" ht="13.7" customHeight="1" x14ac:dyDescent="0.2">
      <c r="A50" s="45"/>
      <c r="B50" s="102" t="s">
        <v>375</v>
      </c>
      <c r="C50" s="32" t="s">
        <v>382</v>
      </c>
      <c r="D50" s="46">
        <f>F50/(1-'Cálc. Reaj. 2018 - Mensal. 2017'!$M$4)</f>
        <v>294.42</v>
      </c>
      <c r="E50" s="46">
        <f t="shared" si="0"/>
        <v>4.4162999999999784</v>
      </c>
      <c r="F50" s="35">
        <f>[14]Orçamento!$I$70</f>
        <v>290.00370000000004</v>
      </c>
      <c r="G50" s="36">
        <f>'[14]Dados do Curso'!$H$13</f>
        <v>18</v>
      </c>
      <c r="H50" s="23"/>
      <c r="I50" s="24"/>
      <c r="L50" s="44"/>
      <c r="M50" s="44"/>
    </row>
    <row r="51" spans="1:13" s="25" customFormat="1" ht="13.7" customHeight="1" x14ac:dyDescent="0.2">
      <c r="A51" s="45"/>
      <c r="B51" s="102" t="s">
        <v>375</v>
      </c>
      <c r="C51" s="32" t="s">
        <v>383</v>
      </c>
      <c r="D51" s="46">
        <f>F51/(1-'Cálc. Reaj. 2018 - Mensal. 2017'!$M$4)</f>
        <v>294.42</v>
      </c>
      <c r="E51" s="46">
        <f t="shared" si="0"/>
        <v>4.4162999999999784</v>
      </c>
      <c r="F51" s="35">
        <f>[15]Orçamento!$I$70</f>
        <v>290.00370000000004</v>
      </c>
      <c r="G51" s="36">
        <f>'[15]Dados do Curso'!$H$13</f>
        <v>18</v>
      </c>
      <c r="H51" s="23"/>
      <c r="I51" s="24"/>
      <c r="L51" s="44"/>
      <c r="M51" s="44"/>
    </row>
    <row r="52" spans="1:13" s="25" customFormat="1" ht="13.7" customHeight="1" x14ac:dyDescent="0.2">
      <c r="A52" s="45"/>
      <c r="B52" s="102" t="s">
        <v>375</v>
      </c>
      <c r="C52" s="32" t="s">
        <v>384</v>
      </c>
      <c r="D52" s="46">
        <f>F52/(1-'Cálc. Reaj. 2018 - Mensal. 2017'!$M$4)</f>
        <v>294.42</v>
      </c>
      <c r="E52" s="46">
        <f t="shared" si="0"/>
        <v>4.4162999999999784</v>
      </c>
      <c r="F52" s="35">
        <f>[16]Orçamento!$I$70</f>
        <v>290.00370000000004</v>
      </c>
      <c r="G52" s="36">
        <f>'[16]Dados do Curso'!$H$13</f>
        <v>18</v>
      </c>
      <c r="H52" s="23"/>
      <c r="I52" s="24"/>
      <c r="L52" s="44"/>
      <c r="M52" s="44"/>
    </row>
    <row r="53" spans="1:13" s="25" customFormat="1" ht="13.7" customHeight="1" x14ac:dyDescent="0.2">
      <c r="A53" s="45"/>
      <c r="B53" s="102" t="s">
        <v>375</v>
      </c>
      <c r="C53" s="32" t="s">
        <v>385</v>
      </c>
      <c r="D53" s="46">
        <f>F53/(1-'Cálc. Reaj. 2018 - Mensal. 2017'!$M$4)</f>
        <v>294.42</v>
      </c>
      <c r="E53" s="46">
        <f t="shared" si="0"/>
        <v>4.4162999999999784</v>
      </c>
      <c r="F53" s="35">
        <f>[17]Orçamento!$I$70</f>
        <v>290.00370000000004</v>
      </c>
      <c r="G53" s="36">
        <f>'[17]Dados do Curso'!$H$13</f>
        <v>18</v>
      </c>
      <c r="H53" s="23"/>
      <c r="I53" s="24"/>
      <c r="L53" s="44"/>
      <c r="M53" s="44"/>
    </row>
    <row r="54" spans="1:13" s="25" customFormat="1" ht="13.7" customHeight="1" x14ac:dyDescent="0.2">
      <c r="A54" s="45"/>
      <c r="B54" s="102" t="s">
        <v>375</v>
      </c>
      <c r="C54" s="32" t="s">
        <v>386</v>
      </c>
      <c r="D54" s="46">
        <f>F54/(1-'Cálc. Reaj. 2018 - Mensal. 2017'!$M$4)</f>
        <v>294.42</v>
      </c>
      <c r="E54" s="46">
        <f t="shared" si="0"/>
        <v>4.4162999999999784</v>
      </c>
      <c r="F54" s="35">
        <f>[18]Orçamento!$I$70</f>
        <v>290.00370000000004</v>
      </c>
      <c r="G54" s="36">
        <f>'[18]Dados do Curso'!$H$13</f>
        <v>18</v>
      </c>
      <c r="H54" s="23"/>
      <c r="I54" s="24"/>
      <c r="L54" s="44"/>
      <c r="M54" s="44"/>
    </row>
    <row r="55" spans="1:13" s="25" customFormat="1" ht="13.7" customHeight="1" x14ac:dyDescent="0.2">
      <c r="A55" s="45"/>
      <c r="B55" s="102" t="s">
        <v>375</v>
      </c>
      <c r="C55" s="32" t="s">
        <v>387</v>
      </c>
      <c r="D55" s="46">
        <f>F55/(1-'Cálc. Reaj. 2018 - Mensal. 2017'!$M$4)</f>
        <v>294.42</v>
      </c>
      <c r="E55" s="46">
        <f t="shared" si="0"/>
        <v>4.4162999999999784</v>
      </c>
      <c r="F55" s="35">
        <f>[19]Orçamento!$I$70</f>
        <v>290.00370000000004</v>
      </c>
      <c r="G55" s="36">
        <f>'[19]Dados do Curso'!$H$13</f>
        <v>18</v>
      </c>
      <c r="H55" s="23"/>
      <c r="I55" s="24"/>
      <c r="L55" s="44"/>
      <c r="M55" s="44"/>
    </row>
    <row r="56" spans="1:13" s="25" customFormat="1" ht="16.899999999999999" customHeight="1" x14ac:dyDescent="0.2">
      <c r="A56" s="23"/>
      <c r="B56" s="102" t="s">
        <v>375</v>
      </c>
      <c r="C56" s="32" t="s">
        <v>388</v>
      </c>
      <c r="D56" s="46">
        <f>F56/(1-'Cálc. Reaj. 2018 - Mensal. 2017'!$M$4)</f>
        <v>294.42</v>
      </c>
      <c r="E56" s="46">
        <f t="shared" si="0"/>
        <v>4.4162999999999784</v>
      </c>
      <c r="F56" s="35">
        <f>[20]Orçamento!$I$70</f>
        <v>290.00370000000004</v>
      </c>
      <c r="G56" s="36">
        <f>'[20]Dados do Curso'!$H$13</f>
        <v>18</v>
      </c>
      <c r="H56" s="23"/>
      <c r="I56" s="24"/>
    </row>
    <row r="57" spans="1:13" s="25" customFormat="1" ht="16.899999999999999" customHeight="1" x14ac:dyDescent="0.2">
      <c r="A57" s="23"/>
      <c r="B57" s="102" t="s">
        <v>375</v>
      </c>
      <c r="C57" s="32" t="s">
        <v>389</v>
      </c>
      <c r="D57" s="46">
        <f>F57/(1-'Cálc. Reaj. 2018 - Mensal. 2017'!$M$4)</f>
        <v>294.42</v>
      </c>
      <c r="E57" s="46">
        <f t="shared" si="0"/>
        <v>4.4162999999999784</v>
      </c>
      <c r="F57" s="35">
        <f>[21]Orçamento!$I$70</f>
        <v>290.00370000000004</v>
      </c>
      <c r="G57" s="36">
        <f>'[21]Dados do Curso'!$H$13</f>
        <v>18</v>
      </c>
      <c r="H57" s="23"/>
      <c r="I57" s="24"/>
    </row>
    <row r="58" spans="1:13" s="25" customFormat="1" ht="16.899999999999999" customHeight="1" x14ac:dyDescent="0.2">
      <c r="A58" s="23"/>
      <c r="B58" s="102" t="s">
        <v>375</v>
      </c>
      <c r="C58" s="32" t="s">
        <v>390</v>
      </c>
      <c r="D58" s="46">
        <f>F58/(1-'Cálc. Reaj. 2018 - Mensal. 2017'!$M$4)</f>
        <v>294.42</v>
      </c>
      <c r="E58" s="46">
        <f t="shared" si="0"/>
        <v>4.4162999999999784</v>
      </c>
      <c r="F58" s="35">
        <f>[22]Orçamento!$I$70</f>
        <v>290.00370000000004</v>
      </c>
      <c r="G58" s="36">
        <f>'[22]Dados do Curso'!$H$13</f>
        <v>18</v>
      </c>
      <c r="H58" s="17"/>
      <c r="I58" s="24"/>
    </row>
    <row r="59" spans="1:13" s="25" customFormat="1" ht="16.899999999999999" customHeight="1" x14ac:dyDescent="0.2">
      <c r="A59" s="23"/>
      <c r="B59" s="102" t="s">
        <v>375</v>
      </c>
      <c r="C59" s="32" t="s">
        <v>391</v>
      </c>
      <c r="D59" s="46">
        <f>F59/(1-'Cálc. Reaj. 2018 - Mensal. 2017'!$M$4)</f>
        <v>294.42</v>
      </c>
      <c r="E59" s="46">
        <f t="shared" si="0"/>
        <v>4.4162999999999784</v>
      </c>
      <c r="F59" s="35">
        <f>[23]Orçamento!$I$70</f>
        <v>290.00370000000004</v>
      </c>
      <c r="G59" s="36">
        <f>'[23]Dados do Curso'!$H$13</f>
        <v>18</v>
      </c>
      <c r="H59" s="17"/>
      <c r="I59" s="24"/>
    </row>
    <row r="60" spans="1:13" s="25" customFormat="1" ht="16.899999999999999" customHeight="1" x14ac:dyDescent="0.2">
      <c r="A60" s="23"/>
      <c r="B60" s="102" t="s">
        <v>375</v>
      </c>
      <c r="C60" s="32" t="s">
        <v>392</v>
      </c>
      <c r="D60" s="46">
        <f>F60/(1-'Cálc. Reaj. 2018 - Mensal. 2017'!$M$4)</f>
        <v>294.42</v>
      </c>
      <c r="E60" s="46">
        <f t="shared" si="0"/>
        <v>4.4162999999999784</v>
      </c>
      <c r="F60" s="35">
        <f>[24]Orçamento!$I$70</f>
        <v>290.00370000000004</v>
      </c>
      <c r="G60" s="36">
        <f>'[24]Dados do Curso'!$H$13</f>
        <v>18</v>
      </c>
      <c r="H60" s="17"/>
      <c r="I60" s="24"/>
    </row>
    <row r="61" spans="1:13" s="25" customFormat="1" ht="16.899999999999999" customHeight="1" x14ac:dyDescent="0.2">
      <c r="A61" s="23"/>
      <c r="B61" s="102" t="s">
        <v>375</v>
      </c>
      <c r="C61" s="32" t="s">
        <v>393</v>
      </c>
      <c r="D61" s="46">
        <f>F61/(1-'Cálc. Reaj. 2018 - Mensal. 2017'!$M$4)</f>
        <v>294.42</v>
      </c>
      <c r="E61" s="46">
        <f t="shared" si="0"/>
        <v>4.4162999999999784</v>
      </c>
      <c r="F61" s="35">
        <f>[25]Orçamento!$I$70</f>
        <v>290.00370000000004</v>
      </c>
      <c r="G61" s="36">
        <f>'[25]Dados do Curso'!$H$13</f>
        <v>18</v>
      </c>
      <c r="H61" s="17"/>
      <c r="I61" s="24"/>
    </row>
    <row r="62" spans="1:13" s="25" customFormat="1" ht="16.899999999999999" customHeight="1" x14ac:dyDescent="0.2">
      <c r="A62" s="23"/>
      <c r="B62" s="102" t="s">
        <v>375</v>
      </c>
      <c r="C62" s="32" t="s">
        <v>394</v>
      </c>
      <c r="D62" s="46">
        <f>F62/(1-'Cálc. Reaj. 2018 - Mensal. 2017'!$M$4)</f>
        <v>294.42</v>
      </c>
      <c r="E62" s="46">
        <f t="shared" si="0"/>
        <v>4.4162999999999784</v>
      </c>
      <c r="F62" s="35">
        <f>[26]Orçamento!$I$70</f>
        <v>290.00370000000004</v>
      </c>
      <c r="G62" s="36">
        <f>'[26]Dados do Curso'!$H$13</f>
        <v>18</v>
      </c>
      <c r="H62" s="17"/>
      <c r="I62" s="24"/>
    </row>
    <row r="63" spans="1:13" s="25" customFormat="1" ht="16.899999999999999" customHeight="1" x14ac:dyDescent="0.2">
      <c r="A63" s="23"/>
      <c r="B63" s="102" t="s">
        <v>375</v>
      </c>
      <c r="C63" s="32" t="s">
        <v>395</v>
      </c>
      <c r="D63" s="46">
        <f>F63/(1-'Cálc. Reaj. 2018 - Mensal. 2017'!$M$4)</f>
        <v>294.42</v>
      </c>
      <c r="E63" s="46">
        <f t="shared" si="0"/>
        <v>4.4162999999999784</v>
      </c>
      <c r="F63" s="35">
        <f>[27]Orçamento!$I$70</f>
        <v>290.00370000000004</v>
      </c>
      <c r="G63" s="36">
        <f>'[27]Dados do Curso'!$H$13</f>
        <v>18</v>
      </c>
      <c r="H63" s="17"/>
      <c r="I63" s="24"/>
    </row>
    <row r="64" spans="1:13" s="25" customFormat="1" ht="16.899999999999999" customHeight="1" x14ac:dyDescent="0.2">
      <c r="A64" s="23"/>
      <c r="B64" s="102" t="s">
        <v>375</v>
      </c>
      <c r="C64" s="32" t="s">
        <v>396</v>
      </c>
      <c r="D64" s="46">
        <f>F64/(1-'Cálc. Reaj. 2018 - Mensal. 2017'!$M$4)</f>
        <v>294.42</v>
      </c>
      <c r="E64" s="46">
        <f t="shared" si="0"/>
        <v>4.4162999999999784</v>
      </c>
      <c r="F64" s="35">
        <f>[28]Orçamento!$I$70</f>
        <v>290.00370000000004</v>
      </c>
      <c r="G64" s="36">
        <f>'[28]Dados do Curso'!$H$13</f>
        <v>18</v>
      </c>
      <c r="H64" s="17"/>
      <c r="I64" s="24"/>
    </row>
    <row r="65" spans="1:10" s="25" customFormat="1" ht="16.899999999999999" customHeight="1" x14ac:dyDescent="0.2">
      <c r="A65" s="23"/>
      <c r="B65" s="102" t="s">
        <v>375</v>
      </c>
      <c r="C65" s="32" t="s">
        <v>397</v>
      </c>
      <c r="D65" s="46">
        <f>F65/(1-'Cálc. Reaj. 2018 - Mensal. 2017'!$M$4)</f>
        <v>294.42</v>
      </c>
      <c r="E65" s="46">
        <f t="shared" si="0"/>
        <v>4.4162999999999784</v>
      </c>
      <c r="F65" s="35">
        <f>[29]Orçamento!$I$70</f>
        <v>290.00370000000004</v>
      </c>
      <c r="G65" s="36">
        <f>'[29]Dados do Curso'!$H$13</f>
        <v>18</v>
      </c>
      <c r="H65" s="17"/>
      <c r="I65" s="24"/>
    </row>
    <row r="66" spans="1:10" s="25" customFormat="1" ht="16.899999999999999" customHeight="1" x14ac:dyDescent="0.2">
      <c r="A66" s="23"/>
      <c r="B66" s="115"/>
      <c r="C66" s="115"/>
      <c r="D66" s="115"/>
      <c r="E66" s="115"/>
      <c r="F66" s="115"/>
      <c r="G66" s="115"/>
      <c r="H66" s="17"/>
      <c r="I66" s="24"/>
    </row>
    <row r="67" spans="1:10" s="25" customFormat="1" ht="16.899999999999999" customHeight="1" x14ac:dyDescent="0.2">
      <c r="A67" s="23"/>
      <c r="B67" s="116" t="s">
        <v>26</v>
      </c>
      <c r="C67" s="116"/>
      <c r="D67" s="116"/>
      <c r="E67" s="116"/>
      <c r="F67" s="116"/>
      <c r="G67" s="116"/>
      <c r="H67" s="17"/>
      <c r="I67" s="24"/>
    </row>
    <row r="68" spans="1:10" s="25" customFormat="1" ht="16.899999999999999" customHeight="1" x14ac:dyDescent="0.2">
      <c r="A68" s="23"/>
      <c r="B68" s="116" t="s">
        <v>38</v>
      </c>
      <c r="C68" s="116"/>
      <c r="D68" s="116"/>
      <c r="E68" s="116"/>
      <c r="F68" s="116"/>
      <c r="G68" s="116"/>
      <c r="H68" s="116"/>
      <c r="I68" s="116"/>
      <c r="J68" s="116"/>
    </row>
    <row r="69" spans="1:10" s="25" customFormat="1" ht="35.25" customHeight="1" x14ac:dyDescent="0.2">
      <c r="A69" s="23"/>
      <c r="B69" s="19"/>
      <c r="C69" s="20"/>
      <c r="D69" s="20"/>
      <c r="E69" s="20"/>
      <c r="F69" s="21"/>
      <c r="G69" s="20"/>
      <c r="H69" s="20"/>
      <c r="I69" s="24"/>
    </row>
    <row r="70" spans="1:10" s="25" customFormat="1" ht="16.899999999999999" customHeight="1" x14ac:dyDescent="0.2">
      <c r="A70" s="23"/>
      <c r="B70" s="117" t="s">
        <v>339</v>
      </c>
      <c r="C70" s="117"/>
      <c r="D70" s="117"/>
      <c r="E70" s="117"/>
      <c r="F70" s="117"/>
      <c r="G70" s="6"/>
      <c r="H70" s="6"/>
      <c r="I70" s="24"/>
    </row>
    <row r="71" spans="1:10" s="25" customFormat="1" ht="35.25" customHeight="1" x14ac:dyDescent="0.2">
      <c r="A71" s="23"/>
      <c r="B71" s="58"/>
      <c r="C71" s="8"/>
      <c r="D71" s="9"/>
      <c r="E71" s="9"/>
      <c r="F71" s="9"/>
      <c r="G71" s="10"/>
      <c r="H71" s="6"/>
      <c r="I71" s="24"/>
    </row>
    <row r="72" spans="1:10" s="25" customFormat="1" ht="16.899999999999999" customHeight="1" x14ac:dyDescent="0.2">
      <c r="A72" s="23"/>
      <c r="B72" s="112" t="s">
        <v>340</v>
      </c>
      <c r="C72" s="112"/>
      <c r="D72" s="112"/>
      <c r="E72" s="112"/>
      <c r="F72" s="112"/>
      <c r="G72" s="112"/>
      <c r="H72" s="22"/>
      <c r="I72" s="24"/>
    </row>
    <row r="73" spans="1:10" s="25" customFormat="1" ht="16.899999999999999" customHeight="1" x14ac:dyDescent="0.2">
      <c r="A73" s="23"/>
      <c r="B73" s="112" t="s">
        <v>341</v>
      </c>
      <c r="C73" s="112"/>
      <c r="D73" s="112"/>
      <c r="E73" s="112"/>
      <c r="F73" s="112"/>
      <c r="G73" s="112"/>
      <c r="H73" s="22"/>
      <c r="I73" s="24"/>
    </row>
    <row r="74" spans="1:10" s="25" customFormat="1" ht="16.899999999999999" customHeight="1" x14ac:dyDescent="0.2">
      <c r="A74" s="23"/>
      <c r="B74" s="26"/>
      <c r="C74" s="27"/>
      <c r="D74" s="28"/>
      <c r="E74" s="28"/>
      <c r="F74" s="28"/>
      <c r="G74" s="29"/>
      <c r="H74" s="23"/>
      <c r="I74" s="24"/>
    </row>
    <row r="75" spans="1:10" s="25" customFormat="1" ht="16.899999999999999" customHeight="1" x14ac:dyDescent="0.2">
      <c r="A75" s="23"/>
      <c r="B75" s="26"/>
      <c r="C75" s="27"/>
      <c r="D75" s="28"/>
      <c r="E75" s="28"/>
      <c r="F75" s="28"/>
      <c r="G75" s="29"/>
      <c r="H75" s="23"/>
      <c r="I75" s="24"/>
    </row>
    <row r="76" spans="1:10" s="25" customFormat="1" ht="16.899999999999999" customHeight="1" x14ac:dyDescent="0.2">
      <c r="A76" s="23"/>
      <c r="B76" s="26"/>
      <c r="C76" s="27"/>
      <c r="D76" s="28"/>
      <c r="E76" s="28"/>
      <c r="F76" s="28"/>
      <c r="G76" s="29"/>
      <c r="H76" s="23"/>
      <c r="I76" s="24"/>
    </row>
    <row r="77" spans="1:10" s="25" customFormat="1" ht="16.899999999999999" customHeight="1" x14ac:dyDescent="0.2">
      <c r="A77" s="23"/>
      <c r="B77" s="26"/>
      <c r="C77" s="27"/>
      <c r="D77" s="28"/>
      <c r="E77" s="28"/>
      <c r="F77" s="28"/>
      <c r="G77" s="29"/>
      <c r="H77" s="23"/>
      <c r="I77" s="24"/>
    </row>
    <row r="78" spans="1:10" s="25" customFormat="1" ht="16.899999999999999" customHeight="1" x14ac:dyDescent="0.2">
      <c r="A78" s="23"/>
      <c r="B78" s="26"/>
      <c r="C78" s="27"/>
      <c r="D78" s="28"/>
      <c r="E78" s="28"/>
      <c r="F78" s="28"/>
      <c r="G78" s="29"/>
      <c r="H78" s="23"/>
      <c r="I78" s="24"/>
    </row>
    <row r="79" spans="1:10" s="25" customFormat="1" ht="16.899999999999999" customHeight="1" x14ac:dyDescent="0.2">
      <c r="A79" s="23"/>
      <c r="B79" s="26"/>
      <c r="C79" s="27"/>
      <c r="D79" s="28"/>
      <c r="E79" s="28"/>
      <c r="F79" s="28"/>
      <c r="G79" s="29"/>
      <c r="H79" s="23"/>
      <c r="I79" s="24"/>
    </row>
    <row r="80" spans="1:10" s="25" customFormat="1" ht="16.899999999999999" customHeight="1" x14ac:dyDescent="0.2">
      <c r="A80" s="23"/>
      <c r="B80" s="26"/>
      <c r="C80" s="27"/>
      <c r="D80" s="28"/>
      <c r="E80" s="28"/>
      <c r="F80" s="28"/>
      <c r="G80" s="29"/>
      <c r="H80" s="23"/>
      <c r="I80" s="24"/>
    </row>
    <row r="81" spans="1:9" s="25" customFormat="1" ht="16.899999999999999" customHeight="1" x14ac:dyDescent="0.2">
      <c r="A81" s="23"/>
      <c r="B81" s="26"/>
      <c r="C81" s="27"/>
      <c r="D81" s="28"/>
      <c r="E81" s="28"/>
      <c r="F81" s="28"/>
      <c r="G81" s="29"/>
      <c r="H81" s="23"/>
      <c r="I81" s="24"/>
    </row>
    <row r="82" spans="1:9" s="25" customFormat="1" ht="16.899999999999999" customHeight="1" x14ac:dyDescent="0.2">
      <c r="A82" s="23"/>
      <c r="B82" s="26"/>
      <c r="C82" s="27"/>
      <c r="D82" s="28"/>
      <c r="E82" s="28"/>
      <c r="F82" s="28"/>
      <c r="G82" s="29"/>
      <c r="H82" s="23"/>
      <c r="I82" s="24"/>
    </row>
    <row r="83" spans="1:9" s="25" customFormat="1" ht="16.899999999999999" customHeight="1" x14ac:dyDescent="0.2">
      <c r="A83" s="23"/>
      <c r="B83" s="26"/>
      <c r="C83" s="27"/>
      <c r="D83" s="28"/>
      <c r="E83" s="28"/>
      <c r="F83" s="28"/>
      <c r="G83" s="29"/>
      <c r="H83" s="23"/>
      <c r="I83" s="24"/>
    </row>
    <row r="84" spans="1:9" s="25" customFormat="1" ht="16.899999999999999" customHeight="1" x14ac:dyDescent="0.2">
      <c r="A84" s="23"/>
      <c r="B84" s="26"/>
      <c r="C84" s="27"/>
      <c r="D84" s="28"/>
      <c r="E84" s="28"/>
      <c r="F84" s="28"/>
      <c r="G84" s="29"/>
      <c r="H84" s="23"/>
      <c r="I84" s="24"/>
    </row>
    <row r="85" spans="1:9" s="25" customFormat="1" ht="16.899999999999999" customHeight="1" x14ac:dyDescent="0.2">
      <c r="A85" s="23"/>
      <c r="B85" s="26"/>
      <c r="C85" s="27"/>
      <c r="D85" s="28"/>
      <c r="E85" s="28"/>
      <c r="F85" s="28"/>
      <c r="G85" s="29"/>
      <c r="H85" s="23"/>
      <c r="I85" s="24"/>
    </row>
    <row r="86" spans="1:9" s="25" customFormat="1" ht="16.899999999999999" customHeight="1" x14ac:dyDescent="0.2">
      <c r="A86" s="23"/>
      <c r="B86" s="26"/>
      <c r="C86" s="27"/>
      <c r="D86" s="28"/>
      <c r="E86" s="28"/>
      <c r="F86" s="28"/>
      <c r="G86" s="29"/>
      <c r="H86" s="23"/>
      <c r="I86" s="24"/>
    </row>
    <row r="87" spans="1:9" s="25" customFormat="1" ht="16.899999999999999" customHeight="1" x14ac:dyDescent="0.2">
      <c r="A87" s="23"/>
      <c r="B87" s="26"/>
      <c r="C87" s="27"/>
      <c r="D87" s="28"/>
      <c r="E87" s="28"/>
      <c r="F87" s="28"/>
      <c r="G87" s="29"/>
      <c r="H87" s="23"/>
      <c r="I87" s="24"/>
    </row>
    <row r="88" spans="1:9" s="25" customFormat="1" ht="16.899999999999999" customHeight="1" x14ac:dyDescent="0.2">
      <c r="A88" s="23"/>
      <c r="B88" s="26"/>
      <c r="C88" s="27"/>
      <c r="D88" s="28"/>
      <c r="E88" s="28"/>
      <c r="F88" s="28"/>
      <c r="G88" s="29"/>
      <c r="H88" s="23"/>
      <c r="I88" s="24"/>
    </row>
    <row r="89" spans="1:9" s="25" customFormat="1" ht="16.899999999999999" customHeight="1" x14ac:dyDescent="0.2">
      <c r="A89" s="23"/>
      <c r="B89" s="26"/>
      <c r="C89" s="27"/>
      <c r="D89" s="28"/>
      <c r="E89" s="28"/>
      <c r="F89" s="28"/>
      <c r="G89" s="29"/>
      <c r="H89" s="23"/>
      <c r="I89" s="24"/>
    </row>
    <row r="90" spans="1:9" s="25" customFormat="1" ht="16.899999999999999" customHeight="1" x14ac:dyDescent="0.2">
      <c r="A90" s="23"/>
      <c r="B90" s="26"/>
      <c r="C90" s="27"/>
      <c r="D90" s="28"/>
      <c r="E90" s="28"/>
      <c r="F90" s="28"/>
      <c r="G90" s="29"/>
      <c r="H90" s="23"/>
      <c r="I90" s="24"/>
    </row>
    <row r="91" spans="1:9" s="25" customFormat="1" ht="16.899999999999999" customHeight="1" x14ac:dyDescent="0.2">
      <c r="A91" s="23"/>
      <c r="B91" s="26"/>
      <c r="C91" s="27"/>
      <c r="D91" s="28"/>
      <c r="E91" s="28"/>
      <c r="F91" s="28"/>
      <c r="G91" s="29"/>
      <c r="H91" s="23"/>
      <c r="I91" s="24"/>
    </row>
    <row r="92" spans="1:9" s="25" customFormat="1" ht="16.899999999999999" customHeight="1" x14ac:dyDescent="0.2">
      <c r="A92" s="23"/>
      <c r="B92" s="26"/>
      <c r="C92" s="27"/>
      <c r="D92" s="28"/>
      <c r="E92" s="28"/>
      <c r="F92" s="28"/>
      <c r="G92" s="29"/>
      <c r="H92" s="23"/>
      <c r="I92" s="24"/>
    </row>
    <row r="93" spans="1:9" s="25" customFormat="1" ht="16.899999999999999" customHeight="1" x14ac:dyDescent="0.2">
      <c r="A93" s="23"/>
      <c r="B93" s="26"/>
      <c r="C93" s="27"/>
      <c r="D93" s="28"/>
      <c r="E93" s="28"/>
      <c r="F93" s="28"/>
      <c r="G93" s="29"/>
      <c r="H93" s="23"/>
      <c r="I93" s="24"/>
    </row>
    <row r="94" spans="1:9" s="25" customFormat="1" ht="16.899999999999999" customHeight="1" x14ac:dyDescent="0.2">
      <c r="A94" s="23"/>
      <c r="B94" s="26"/>
      <c r="C94" s="27"/>
      <c r="D94" s="28"/>
      <c r="E94" s="28"/>
      <c r="F94" s="28"/>
      <c r="G94" s="29"/>
      <c r="H94" s="23"/>
      <c r="I94" s="24"/>
    </row>
    <row r="95" spans="1:9" s="25" customFormat="1" ht="16.899999999999999" customHeight="1" x14ac:dyDescent="0.2">
      <c r="A95" s="23"/>
      <c r="B95" s="26"/>
      <c r="C95" s="27"/>
      <c r="D95" s="28"/>
      <c r="E95" s="28"/>
      <c r="F95" s="28"/>
      <c r="G95" s="29"/>
      <c r="H95" s="23"/>
      <c r="I95" s="24"/>
    </row>
    <row r="96" spans="1:9" s="25" customFormat="1" ht="16.899999999999999" customHeight="1" x14ac:dyDescent="0.2">
      <c r="A96" s="23"/>
      <c r="B96" s="26"/>
      <c r="C96" s="27"/>
      <c r="D96" s="28"/>
      <c r="E96" s="28"/>
      <c r="F96" s="28"/>
      <c r="G96" s="29"/>
      <c r="H96" s="23"/>
      <c r="I96" s="24"/>
    </row>
    <row r="97" spans="1:9" s="25" customFormat="1" ht="16.899999999999999" customHeight="1" x14ac:dyDescent="0.2">
      <c r="A97" s="23"/>
      <c r="B97" s="26"/>
      <c r="C97" s="27"/>
      <c r="D97" s="28"/>
      <c r="E97" s="28"/>
      <c r="F97" s="28"/>
      <c r="G97" s="29"/>
      <c r="H97" s="23"/>
      <c r="I97" s="24"/>
    </row>
    <row r="98" spans="1:9" s="25" customFormat="1" ht="16.899999999999999" customHeight="1" x14ac:dyDescent="0.2">
      <c r="A98" s="23"/>
      <c r="B98" s="26"/>
      <c r="C98" s="27"/>
      <c r="D98" s="28"/>
      <c r="E98" s="28"/>
      <c r="F98" s="28"/>
      <c r="G98" s="29"/>
      <c r="H98" s="23"/>
      <c r="I98" s="24"/>
    </row>
    <row r="99" spans="1:9" s="25" customFormat="1" ht="16.899999999999999" customHeight="1" x14ac:dyDescent="0.2">
      <c r="A99" s="23"/>
      <c r="B99" s="26"/>
      <c r="C99" s="27"/>
      <c r="D99" s="28"/>
      <c r="E99" s="28"/>
      <c r="F99" s="28"/>
      <c r="G99" s="29"/>
      <c r="H99" s="23"/>
      <c r="I99" s="24"/>
    </row>
    <row r="100" spans="1:9" s="25" customFormat="1" ht="16.899999999999999" customHeight="1" x14ac:dyDescent="0.2">
      <c r="A100" s="23"/>
      <c r="B100" s="26"/>
      <c r="C100" s="27"/>
      <c r="D100" s="28"/>
      <c r="E100" s="28"/>
      <c r="F100" s="28"/>
      <c r="G100" s="29"/>
      <c r="H100" s="23"/>
      <c r="I100" s="24"/>
    </row>
    <row r="101" spans="1:9" s="25" customFormat="1" ht="16.899999999999999" customHeight="1" x14ac:dyDescent="0.2">
      <c r="A101" s="23"/>
      <c r="B101" s="26"/>
      <c r="C101" s="27"/>
      <c r="D101" s="28"/>
      <c r="E101" s="28"/>
      <c r="F101" s="28"/>
      <c r="G101" s="29"/>
      <c r="H101" s="23"/>
      <c r="I101" s="24"/>
    </row>
    <row r="102" spans="1:9" s="25" customFormat="1" ht="16.899999999999999" customHeight="1" x14ac:dyDescent="0.2">
      <c r="A102" s="23"/>
      <c r="B102" s="26"/>
      <c r="C102" s="27"/>
      <c r="D102" s="28"/>
      <c r="E102" s="28"/>
      <c r="F102" s="28"/>
      <c r="G102" s="29"/>
      <c r="H102" s="23"/>
      <c r="I102" s="24"/>
    </row>
    <row r="103" spans="1:9" s="25" customFormat="1" ht="16.899999999999999" customHeight="1" x14ac:dyDescent="0.2">
      <c r="A103" s="23"/>
      <c r="B103" s="26"/>
      <c r="C103" s="27"/>
      <c r="D103" s="28"/>
      <c r="E103" s="28"/>
      <c r="F103" s="28"/>
      <c r="G103" s="29"/>
      <c r="H103" s="23"/>
      <c r="I103" s="24"/>
    </row>
    <row r="104" spans="1:9" s="25" customFormat="1" ht="16.899999999999999" customHeight="1" x14ac:dyDescent="0.2">
      <c r="A104" s="23"/>
      <c r="B104" s="26"/>
      <c r="C104" s="27"/>
      <c r="D104" s="28"/>
      <c r="E104" s="28"/>
      <c r="F104" s="28"/>
      <c r="G104" s="29"/>
      <c r="H104" s="23"/>
      <c r="I104" s="24"/>
    </row>
    <row r="105" spans="1:9" s="25" customFormat="1" ht="16.899999999999999" customHeight="1" x14ac:dyDescent="0.2">
      <c r="A105" s="23"/>
      <c r="B105" s="26"/>
      <c r="C105" s="27"/>
      <c r="D105" s="28"/>
      <c r="E105" s="28"/>
      <c r="F105" s="28"/>
      <c r="G105" s="29"/>
      <c r="H105" s="23"/>
      <c r="I105" s="24"/>
    </row>
    <row r="106" spans="1:9" s="25" customFormat="1" ht="16.899999999999999" customHeight="1" x14ac:dyDescent="0.2">
      <c r="A106" s="23"/>
      <c r="B106" s="26"/>
      <c r="C106" s="27"/>
      <c r="D106" s="28"/>
      <c r="E106" s="28"/>
      <c r="F106" s="28"/>
      <c r="G106" s="29"/>
      <c r="H106" s="23"/>
      <c r="I106" s="24"/>
    </row>
    <row r="107" spans="1:9" s="25" customFormat="1" ht="16.899999999999999" customHeight="1" x14ac:dyDescent="0.2">
      <c r="A107" s="23"/>
      <c r="B107" s="26"/>
      <c r="C107" s="27"/>
      <c r="D107" s="28"/>
      <c r="E107" s="28"/>
      <c r="F107" s="28"/>
      <c r="G107" s="29"/>
      <c r="H107" s="23"/>
      <c r="I107" s="24"/>
    </row>
    <row r="108" spans="1:9" s="25" customFormat="1" ht="16.899999999999999" customHeight="1" x14ac:dyDescent="0.2">
      <c r="A108" s="23"/>
      <c r="B108" s="26"/>
      <c r="C108" s="27"/>
      <c r="D108" s="28"/>
      <c r="E108" s="28"/>
      <c r="F108" s="28"/>
      <c r="G108" s="29"/>
      <c r="H108" s="23"/>
      <c r="I108" s="24"/>
    </row>
    <row r="109" spans="1:9" s="25" customFormat="1" ht="16.899999999999999" customHeight="1" x14ac:dyDescent="0.2">
      <c r="A109" s="23"/>
      <c r="B109" s="26"/>
      <c r="C109" s="27"/>
      <c r="D109" s="28"/>
      <c r="E109" s="28"/>
      <c r="F109" s="28"/>
      <c r="G109" s="29"/>
      <c r="H109" s="23"/>
      <c r="I109" s="24"/>
    </row>
    <row r="110" spans="1:9" s="25" customFormat="1" ht="16.899999999999999" customHeight="1" x14ac:dyDescent="0.2">
      <c r="A110" s="23"/>
      <c r="B110" s="26"/>
      <c r="C110" s="27"/>
      <c r="D110" s="28"/>
      <c r="E110" s="28"/>
      <c r="F110" s="28"/>
      <c r="G110" s="29"/>
      <c r="H110" s="23"/>
      <c r="I110" s="24"/>
    </row>
    <row r="111" spans="1:9" s="25" customFormat="1" ht="16.899999999999999" customHeight="1" x14ac:dyDescent="0.2">
      <c r="A111" s="23"/>
      <c r="B111" s="26"/>
      <c r="C111" s="27"/>
      <c r="D111" s="28"/>
      <c r="E111" s="28"/>
      <c r="F111" s="28"/>
      <c r="G111" s="29"/>
      <c r="H111" s="23"/>
      <c r="I111" s="24"/>
    </row>
    <row r="112" spans="1:9" s="25" customFormat="1" ht="16.899999999999999" customHeight="1" x14ac:dyDescent="0.2">
      <c r="A112" s="23"/>
      <c r="B112" s="26"/>
      <c r="C112" s="27"/>
      <c r="D112" s="28"/>
      <c r="E112" s="28"/>
      <c r="F112" s="28"/>
      <c r="G112" s="29"/>
      <c r="H112" s="23"/>
      <c r="I112" s="24"/>
    </row>
    <row r="113" spans="1:9" s="25" customFormat="1" ht="16.899999999999999" customHeight="1" x14ac:dyDescent="0.2">
      <c r="A113" s="23"/>
      <c r="B113" s="26"/>
      <c r="C113" s="27"/>
      <c r="D113" s="28"/>
      <c r="E113" s="28"/>
      <c r="F113" s="28"/>
      <c r="G113" s="29"/>
      <c r="H113" s="23"/>
      <c r="I113" s="24"/>
    </row>
  </sheetData>
  <mergeCells count="10">
    <mergeCell ref="B70:F70"/>
    <mergeCell ref="B72:G72"/>
    <mergeCell ref="B73:G73"/>
    <mergeCell ref="B68:G68"/>
    <mergeCell ref="H68:J68"/>
    <mergeCell ref="B2:G2"/>
    <mergeCell ref="B3:G3"/>
    <mergeCell ref="B4:G4"/>
    <mergeCell ref="B66:G66"/>
    <mergeCell ref="B67:G67"/>
  </mergeCells>
  <printOptions horizontalCentered="1"/>
  <pageMargins left="0.39370078740157483" right="0.39370078740157483" top="1.3779527559055118" bottom="0.39370078740157483" header="0.39370078740157483" footer="0"/>
  <pageSetup paperSize="9" scale="76" orientation="portrait" horizontalDpi="1200" verticalDpi="1200" r:id="rId1"/>
  <headerFooter alignWithMargins="0">
    <oddHeader>&amp;R&amp;"Arial,Negrito"&amp;18Anexo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FF00"/>
    <pageSetUpPr fitToPage="1"/>
  </sheetPr>
  <dimension ref="A1:AF113"/>
  <sheetViews>
    <sheetView showGridLines="0" zoomScaleNormal="100" workbookViewId="0">
      <pane ySplit="6" topLeftCell="A45" activePane="bottomLeft" state="frozen"/>
      <selection activeCell="C48" sqref="C48"/>
      <selection pane="bottomLeft" activeCell="C54" sqref="C54"/>
    </sheetView>
  </sheetViews>
  <sheetFormatPr defaultColWidth="9.140625" defaultRowHeight="12.75" x14ac:dyDescent="0.2"/>
  <cols>
    <col min="1" max="1" width="2.140625" style="16" customWidth="1"/>
    <col min="2" max="2" width="7.28515625" style="16" customWidth="1"/>
    <col min="3" max="3" width="65" style="16" customWidth="1"/>
    <col min="4" max="7" width="11.5703125" style="16" customWidth="1"/>
    <col min="8" max="8" width="1" style="16" customWidth="1"/>
    <col min="9" max="9" width="13.28515625" bestFit="1" customWidth="1"/>
    <col min="10" max="10" width="13.28515625" style="16" bestFit="1" customWidth="1"/>
    <col min="11" max="16384" width="9.140625" style="16"/>
  </cols>
  <sheetData>
    <row r="1" spans="1:32" x14ac:dyDescent="0.2">
      <c r="A1" s="1"/>
      <c r="B1" s="2"/>
      <c r="C1" s="3"/>
      <c r="D1" s="4"/>
      <c r="E1" s="4"/>
      <c r="F1" s="4"/>
      <c r="G1" s="4"/>
      <c r="H1" s="1"/>
    </row>
    <row r="2" spans="1:32" ht="15.75" customHeight="1" x14ac:dyDescent="0.2">
      <c r="A2" s="5"/>
      <c r="B2" s="111" t="s">
        <v>28</v>
      </c>
      <c r="C2" s="112"/>
      <c r="D2" s="112"/>
      <c r="E2" s="112"/>
      <c r="F2" s="112"/>
      <c r="G2" s="112"/>
      <c r="H2" s="5"/>
    </row>
    <row r="3" spans="1:32" ht="19.899999999999999" customHeight="1" x14ac:dyDescent="0.2">
      <c r="A3" s="6"/>
      <c r="B3" s="113" t="s">
        <v>40</v>
      </c>
      <c r="C3" s="113"/>
      <c r="D3" s="113"/>
      <c r="E3" s="113"/>
      <c r="F3" s="113"/>
      <c r="G3" s="113"/>
      <c r="H3" s="6"/>
    </row>
    <row r="4" spans="1:32" ht="16.899999999999999" customHeight="1" x14ac:dyDescent="0.2">
      <c r="A4" s="11"/>
      <c r="B4" s="114" t="s">
        <v>338</v>
      </c>
      <c r="C4" s="114"/>
      <c r="D4" s="114"/>
      <c r="E4" s="114"/>
      <c r="F4" s="114"/>
      <c r="G4" s="114"/>
      <c r="H4" s="11"/>
    </row>
    <row r="5" spans="1:32" ht="7.9" customHeight="1" x14ac:dyDescent="0.2">
      <c r="A5" s="6"/>
      <c r="B5" s="58"/>
      <c r="C5" s="8"/>
      <c r="D5" s="9"/>
      <c r="E5" s="9"/>
      <c r="F5" s="9"/>
      <c r="G5" s="10"/>
      <c r="H5" s="6"/>
    </row>
    <row r="6" spans="1:32" ht="27.75" customHeight="1" x14ac:dyDescent="0.2">
      <c r="A6" s="12"/>
      <c r="B6" s="37" t="s">
        <v>1</v>
      </c>
      <c r="C6" s="38" t="s">
        <v>2</v>
      </c>
      <c r="D6" s="47" t="s">
        <v>3</v>
      </c>
      <c r="E6" s="47" t="s">
        <v>6</v>
      </c>
      <c r="F6" s="47" t="s">
        <v>4</v>
      </c>
      <c r="G6" s="47" t="s">
        <v>5</v>
      </c>
      <c r="H6" s="12"/>
    </row>
    <row r="7" spans="1:32" customFormat="1" ht="5.25" customHeight="1" x14ac:dyDescent="0.2">
      <c r="A7" s="13"/>
      <c r="B7" s="14"/>
      <c r="C7" s="15"/>
      <c r="D7" s="33"/>
      <c r="E7" s="33"/>
      <c r="F7" s="33"/>
      <c r="G7" s="33"/>
      <c r="H7" s="13"/>
    </row>
    <row r="8" spans="1:32" s="25" customFormat="1" ht="13.7" customHeight="1" x14ac:dyDescent="0.2">
      <c r="A8" s="23"/>
      <c r="B8" s="34">
        <v>20818</v>
      </c>
      <c r="C8" s="32" t="s">
        <v>14</v>
      </c>
      <c r="D8" s="46">
        <f>F8/(1-'Cálc. Reaj. 2018 - Mensal. 2017'!$M$4)</f>
        <v>294.41624365482232</v>
      </c>
      <c r="E8" s="46">
        <f>D8*'Cálc. Reaj. 2018 - Mensal. 2017'!$M$4</f>
        <v>4.4162436548223347</v>
      </c>
      <c r="F8" s="35">
        <f>'Premissas Aprovadas'!$C$4</f>
        <v>290</v>
      </c>
      <c r="G8" s="36">
        <f>'Cálc. Reaj. 2018 - Mensal. 2017'!L10</f>
        <v>18</v>
      </c>
      <c r="H8" s="23"/>
      <c r="I8" s="63"/>
      <c r="J8" s="57"/>
      <c r="L8" s="44"/>
      <c r="M8" s="44"/>
      <c r="N8" s="44"/>
      <c r="O8" s="44"/>
    </row>
    <row r="9" spans="1:32" s="31" customFormat="1" ht="13.7" customHeight="1" x14ac:dyDescent="0.2">
      <c r="A9" s="30"/>
      <c r="B9" s="34">
        <v>20821</v>
      </c>
      <c r="C9" s="32" t="s">
        <v>45</v>
      </c>
      <c r="D9" s="46">
        <f>F9/(1-'Cálc. Reaj. 2018 - Mensal. 2017'!$M$4)</f>
        <v>294.41624365482232</v>
      </c>
      <c r="E9" s="46">
        <f>D9*'Cálc. Reaj. 2018 - Mensal. 2017'!$M$4</f>
        <v>4.4162436548223347</v>
      </c>
      <c r="F9" s="35">
        <f>'Premissas Aprovadas'!$C$4</f>
        <v>290</v>
      </c>
      <c r="G9" s="36">
        <f>'Cálc. Reaj. 2018 - Mensal. 2017'!L11</f>
        <v>18</v>
      </c>
      <c r="H9" s="30"/>
      <c r="I9" s="63"/>
      <c r="J9" s="57"/>
      <c r="K9" s="25"/>
      <c r="L9" s="44"/>
      <c r="M9" s="44"/>
      <c r="N9" s="44"/>
      <c r="O9" s="44"/>
      <c r="AF9" s="25"/>
    </row>
    <row r="10" spans="1:32" s="25" customFormat="1" ht="13.7" customHeight="1" x14ac:dyDescent="0.2">
      <c r="A10" s="23"/>
      <c r="B10" s="34">
        <v>20575</v>
      </c>
      <c r="C10" s="32" t="s">
        <v>30</v>
      </c>
      <c r="D10" s="46">
        <f>F10/(1-'Cálc. Reaj. 2018 - Mensal. 2017'!$M$4)</f>
        <v>294.41624365482232</v>
      </c>
      <c r="E10" s="46">
        <f>D10*'Cálc. Reaj. 2018 - Mensal. 2017'!$M$4</f>
        <v>4.4162436548223347</v>
      </c>
      <c r="F10" s="35">
        <f>'Premissas Aprovadas'!$C$4</f>
        <v>290</v>
      </c>
      <c r="G10" s="36">
        <f>'Cálc. Reaj. 2018 - Mensal. 2017'!L12</f>
        <v>18</v>
      </c>
      <c r="H10" s="23"/>
      <c r="I10" s="63"/>
      <c r="J10" s="57"/>
      <c r="L10" s="44"/>
      <c r="M10" s="44"/>
      <c r="N10" s="44"/>
      <c r="O10" s="44"/>
    </row>
    <row r="11" spans="1:32" s="25" customFormat="1" ht="13.7" customHeight="1" x14ac:dyDescent="0.2">
      <c r="A11" s="23"/>
      <c r="B11" s="34">
        <v>20019</v>
      </c>
      <c r="C11" s="32" t="s">
        <v>12</v>
      </c>
      <c r="D11" s="46">
        <f>F11/(1-'Cálc. Reaj. 2018 - Mensal. 2017'!$M$4)</f>
        <v>294.41624365482232</v>
      </c>
      <c r="E11" s="46">
        <f>D11*'Cálc. Reaj. 2018 - Mensal. 2017'!$M$4</f>
        <v>4.4162436548223347</v>
      </c>
      <c r="F11" s="35">
        <f>'Premissas Aprovadas'!$C$4</f>
        <v>290</v>
      </c>
      <c r="G11" s="36">
        <f>'Cálc. Reaj. 2018 - Mensal. 2017'!L13</f>
        <v>18</v>
      </c>
      <c r="H11" s="23"/>
      <c r="I11" s="63"/>
      <c r="J11" s="57"/>
      <c r="L11" s="44"/>
      <c r="M11" s="44"/>
      <c r="N11" s="44"/>
      <c r="O11" s="44"/>
    </row>
    <row r="12" spans="1:32" s="25" customFormat="1" ht="13.7" customHeight="1" x14ac:dyDescent="0.2">
      <c r="A12" s="23"/>
      <c r="B12" s="54">
        <v>20822</v>
      </c>
      <c r="C12" s="32" t="s">
        <v>21</v>
      </c>
      <c r="D12" s="46">
        <f>F12/(1-'Cálc. Reaj. 2018 - Mensal. 2017'!$M$4)</f>
        <v>294.41624365482232</v>
      </c>
      <c r="E12" s="46">
        <f>D12*'Cálc. Reaj. 2018 - Mensal. 2017'!$M$4</f>
        <v>4.4162436548223347</v>
      </c>
      <c r="F12" s="35">
        <f>'Premissas Aprovadas'!$C$4</f>
        <v>290</v>
      </c>
      <c r="G12" s="36">
        <f>'Cálc. Reaj. 2018 - Mensal. 2017'!L14</f>
        <v>18</v>
      </c>
      <c r="H12" s="23"/>
      <c r="I12" s="63"/>
      <c r="J12" s="57"/>
      <c r="L12" s="44"/>
      <c r="M12" s="44"/>
      <c r="N12" s="44"/>
      <c r="O12" s="44"/>
    </row>
    <row r="13" spans="1:32" s="25" customFormat="1" ht="13.7" customHeight="1" x14ac:dyDescent="0.2">
      <c r="A13" s="23"/>
      <c r="B13" s="34">
        <v>20823</v>
      </c>
      <c r="C13" s="32" t="s">
        <v>27</v>
      </c>
      <c r="D13" s="46">
        <f>F13/(1-'Cálc. Reaj. 2018 - Mensal. 2017'!$M$4)</f>
        <v>294.41624365482232</v>
      </c>
      <c r="E13" s="46">
        <f>D13*'Cálc. Reaj. 2018 - Mensal. 2017'!$M$4</f>
        <v>4.4162436548223347</v>
      </c>
      <c r="F13" s="35">
        <f>'Premissas Aprovadas'!$C$4</f>
        <v>290</v>
      </c>
      <c r="G13" s="36">
        <f>'Cálc. Reaj. 2018 - Mensal. 2017'!L15</f>
        <v>18</v>
      </c>
      <c r="H13" s="23"/>
      <c r="I13" s="63"/>
      <c r="J13" s="57"/>
      <c r="L13" s="44"/>
      <c r="M13" s="44"/>
      <c r="N13" s="44"/>
      <c r="O13" s="44"/>
    </row>
    <row r="14" spans="1:32" s="25" customFormat="1" ht="13.7" customHeight="1" x14ac:dyDescent="0.2">
      <c r="A14" s="23"/>
      <c r="B14" s="54">
        <v>20824</v>
      </c>
      <c r="C14" s="32" t="s">
        <v>20</v>
      </c>
      <c r="D14" s="46">
        <f>F14/(1-'Cálc. Reaj. 2018 - Mensal. 2017'!$M$4)</f>
        <v>294.41624365482232</v>
      </c>
      <c r="E14" s="46">
        <f>D14*'Cálc. Reaj. 2018 - Mensal. 2017'!$M$4</f>
        <v>4.4162436548223347</v>
      </c>
      <c r="F14" s="35">
        <f>'Premissas Aprovadas'!$C$4</f>
        <v>290</v>
      </c>
      <c r="G14" s="36">
        <f>'Cálc. Reaj. 2018 - Mensal. 2017'!L16</f>
        <v>18</v>
      </c>
      <c r="H14" s="23"/>
      <c r="I14" s="63"/>
      <c r="J14" s="57"/>
      <c r="L14" s="44"/>
      <c r="M14" s="44"/>
      <c r="N14" s="44"/>
      <c r="O14" s="44"/>
    </row>
    <row r="15" spans="1:32" s="30" customFormat="1" ht="13.7" customHeight="1" x14ac:dyDescent="0.2">
      <c r="B15" s="54">
        <v>20831</v>
      </c>
      <c r="C15" s="32" t="s">
        <v>42</v>
      </c>
      <c r="D15" s="46">
        <f>F15/(1-'Cálc. Reaj. 2018 - Mensal. 2017'!$M$4)</f>
        <v>294.41624365482232</v>
      </c>
      <c r="E15" s="46">
        <f>D15*'Cálc. Reaj. 2018 - Mensal. 2017'!$M$4</f>
        <v>4.4162436548223347</v>
      </c>
      <c r="F15" s="35">
        <f>'Premissas Aprovadas'!$C$4</f>
        <v>290</v>
      </c>
      <c r="G15" s="36">
        <f>'Cálc. Reaj. 2018 - Mensal. 2017'!L17</f>
        <v>18</v>
      </c>
      <c r="I15" s="63"/>
      <c r="J15" s="57"/>
      <c r="K15" s="25"/>
      <c r="L15" s="62"/>
      <c r="M15" s="62"/>
      <c r="N15" s="44"/>
      <c r="O15" s="44"/>
      <c r="AF15" s="25"/>
    </row>
    <row r="16" spans="1:32" s="25" customFormat="1" ht="13.7" customHeight="1" x14ac:dyDescent="0.2">
      <c r="A16" s="23"/>
      <c r="B16" s="54">
        <v>20825</v>
      </c>
      <c r="C16" s="32" t="s">
        <v>46</v>
      </c>
      <c r="D16" s="46">
        <f>F16/(1-'Cálc. Reaj. 2018 - Mensal. 2017'!$M$4)</f>
        <v>294.41624365482232</v>
      </c>
      <c r="E16" s="46">
        <f>D16*'Cálc. Reaj. 2018 - Mensal. 2017'!$M$4</f>
        <v>4.4162436548223347</v>
      </c>
      <c r="F16" s="35">
        <f>'Premissas Aprovadas'!$C$4</f>
        <v>290</v>
      </c>
      <c r="G16" s="36">
        <f>'Cálc. Reaj. 2018 - Mensal. 2017'!L18</f>
        <v>18</v>
      </c>
      <c r="H16" s="23"/>
      <c r="I16" s="63"/>
      <c r="J16" s="57"/>
      <c r="L16" s="44"/>
      <c r="M16" s="44"/>
      <c r="N16" s="44"/>
      <c r="O16" s="44"/>
    </row>
    <row r="17" spans="1:32" s="25" customFormat="1" ht="13.7" customHeight="1" x14ac:dyDescent="0.2">
      <c r="A17" s="23"/>
      <c r="B17" s="34">
        <v>20018</v>
      </c>
      <c r="C17" s="32" t="s">
        <v>11</v>
      </c>
      <c r="D17" s="46">
        <f>F17/(1-'Cálc. Reaj. 2018 - Mensal. 2017'!$M$4)</f>
        <v>294.41624365482232</v>
      </c>
      <c r="E17" s="46">
        <f>D17*'Cálc. Reaj. 2018 - Mensal. 2017'!$M$4</f>
        <v>4.4162436548223347</v>
      </c>
      <c r="F17" s="35">
        <f>'Premissas Aprovadas'!$C$4</f>
        <v>290</v>
      </c>
      <c r="G17" s="36">
        <f>'Cálc. Reaj. 2018 - Mensal. 2017'!L19</f>
        <v>18</v>
      </c>
      <c r="H17" s="23"/>
      <c r="I17" s="63"/>
      <c r="J17" s="57"/>
      <c r="L17" s="44"/>
      <c r="M17" s="44"/>
      <c r="N17" s="44"/>
      <c r="O17" s="44"/>
    </row>
    <row r="18" spans="1:32" s="25" customFormat="1" ht="13.7" customHeight="1" x14ac:dyDescent="0.2">
      <c r="A18" s="23"/>
      <c r="B18" s="54">
        <v>20826</v>
      </c>
      <c r="C18" s="32" t="s">
        <v>22</v>
      </c>
      <c r="D18" s="46">
        <f>F18/(1-'Cálc. Reaj. 2018 - Mensal. 2017'!$M$4)</f>
        <v>294.41624365482232</v>
      </c>
      <c r="E18" s="46">
        <f>D18*'Cálc. Reaj. 2018 - Mensal. 2017'!$M$4</f>
        <v>4.4162436548223347</v>
      </c>
      <c r="F18" s="35">
        <f>'Premissas Aprovadas'!$C$4</f>
        <v>290</v>
      </c>
      <c r="G18" s="36">
        <f>'Cálc. Reaj. 2018 - Mensal. 2017'!L20</f>
        <v>18</v>
      </c>
      <c r="H18" s="23"/>
      <c r="I18" s="63"/>
      <c r="J18" s="57"/>
      <c r="L18" s="44"/>
      <c r="M18" s="44"/>
      <c r="N18" s="44"/>
      <c r="O18" s="44"/>
    </row>
    <row r="19" spans="1:32" s="25" customFormat="1" ht="13.7" customHeight="1" x14ac:dyDescent="0.2">
      <c r="A19" s="23"/>
      <c r="B19" s="54">
        <v>20827</v>
      </c>
      <c r="C19" s="32" t="s">
        <v>24</v>
      </c>
      <c r="D19" s="46">
        <f>F19/(1-'Cálc. Reaj. 2018 - Mensal. 2017'!$M$4)</f>
        <v>294.41624365482232</v>
      </c>
      <c r="E19" s="46">
        <f>D19*'Cálc. Reaj. 2018 - Mensal. 2017'!$M$4</f>
        <v>4.4162436548223347</v>
      </c>
      <c r="F19" s="35">
        <f>'Premissas Aprovadas'!$C$4</f>
        <v>290</v>
      </c>
      <c r="G19" s="36">
        <f>'Cálc. Reaj. 2018 - Mensal. 2017'!L21</f>
        <v>18</v>
      </c>
      <c r="H19" s="23"/>
      <c r="I19" s="63"/>
      <c r="J19" s="57"/>
      <c r="L19" s="44"/>
      <c r="M19" s="44"/>
      <c r="N19" s="44"/>
      <c r="O19" s="44"/>
    </row>
    <row r="20" spans="1:32" s="25" customFormat="1" ht="13.7" customHeight="1" x14ac:dyDescent="0.2">
      <c r="A20" s="45"/>
      <c r="B20" s="34">
        <v>20010</v>
      </c>
      <c r="C20" s="32" t="s">
        <v>8</v>
      </c>
      <c r="D20" s="46">
        <f>F20/(1-'Cálc. Reaj. 2018 - Mensal. 2017'!$M$4)</f>
        <v>294.41624365482232</v>
      </c>
      <c r="E20" s="46">
        <f>D20*'Cálc. Reaj. 2018 - Mensal. 2017'!$M$4</f>
        <v>4.4162436548223347</v>
      </c>
      <c r="F20" s="35">
        <f>'Premissas Aprovadas'!$C$4</f>
        <v>290</v>
      </c>
      <c r="G20" s="36">
        <f>'Cálc. Reaj. 2018 - Mensal. 2017'!L22</f>
        <v>18</v>
      </c>
      <c r="H20" s="45"/>
      <c r="I20" s="63"/>
      <c r="J20" s="57"/>
      <c r="L20" s="44"/>
      <c r="M20" s="44"/>
      <c r="N20" s="44"/>
      <c r="O20" s="44"/>
    </row>
    <row r="21" spans="1:32" s="25" customFormat="1" ht="13.7" customHeight="1" x14ac:dyDescent="0.2">
      <c r="A21" s="23"/>
      <c r="B21" s="54">
        <v>20828</v>
      </c>
      <c r="C21" s="32" t="s">
        <v>25</v>
      </c>
      <c r="D21" s="46">
        <f>F21/(1-'Cálc. Reaj. 2018 - Mensal. 2017'!$M$4)</f>
        <v>294.41624365482232</v>
      </c>
      <c r="E21" s="46">
        <f>D21*'Cálc. Reaj. 2018 - Mensal. 2017'!$M$4</f>
        <v>4.4162436548223347</v>
      </c>
      <c r="F21" s="35">
        <f>'Premissas Aprovadas'!$C$4</f>
        <v>290</v>
      </c>
      <c r="G21" s="36">
        <f>'Cálc. Reaj. 2018 - Mensal. 2017'!L23</f>
        <v>18</v>
      </c>
      <c r="H21" s="23"/>
      <c r="I21" s="63"/>
      <c r="J21" s="57"/>
      <c r="L21" s="44"/>
      <c r="M21" s="44"/>
      <c r="N21" s="44"/>
      <c r="O21" s="44"/>
    </row>
    <row r="22" spans="1:32" s="25" customFormat="1" ht="13.7" customHeight="1" x14ac:dyDescent="0.2">
      <c r="A22" s="23"/>
      <c r="B22" s="34">
        <v>20015</v>
      </c>
      <c r="C22" s="32" t="s">
        <v>47</v>
      </c>
      <c r="D22" s="46">
        <f>F22/(1-'Cálc. Reaj. 2018 - Mensal. 2017'!$M$4)</f>
        <v>294.41624365482232</v>
      </c>
      <c r="E22" s="46">
        <f>D22*'Cálc. Reaj. 2018 - Mensal. 2017'!$M$4</f>
        <v>4.4162436548223347</v>
      </c>
      <c r="F22" s="35">
        <f>'Premissas Aprovadas'!$C$4</f>
        <v>290</v>
      </c>
      <c r="G22" s="36">
        <f>'Cálc. Reaj. 2018 - Mensal. 2017'!L24</f>
        <v>18</v>
      </c>
      <c r="H22" s="23"/>
      <c r="I22" s="63"/>
      <c r="J22" s="57"/>
      <c r="L22" s="44"/>
      <c r="M22" s="44"/>
      <c r="N22" s="44"/>
      <c r="O22" s="44"/>
    </row>
    <row r="23" spans="1:32" s="25" customFormat="1" ht="13.7" customHeight="1" x14ac:dyDescent="0.2">
      <c r="A23" s="23"/>
      <c r="B23" s="34">
        <v>20027</v>
      </c>
      <c r="C23" s="32" t="s">
        <v>16</v>
      </c>
      <c r="D23" s="46">
        <f>F23/(1-'Cálc. Reaj. 2018 - Mensal. 2017'!$M$4)</f>
        <v>294.41624365482232</v>
      </c>
      <c r="E23" s="46">
        <f>D23*'Cálc. Reaj. 2018 - Mensal. 2017'!$M$4</f>
        <v>4.4162436548223347</v>
      </c>
      <c r="F23" s="35">
        <f>'Premissas Aprovadas'!$C$4</f>
        <v>290</v>
      </c>
      <c r="G23" s="36">
        <f>'Cálc. Reaj. 2018 - Mensal. 2017'!L25</f>
        <v>18</v>
      </c>
      <c r="H23" s="23"/>
      <c r="I23" s="63"/>
      <c r="J23" s="57"/>
      <c r="L23" s="44"/>
      <c r="M23" s="44"/>
      <c r="N23" s="44"/>
      <c r="O23" s="44"/>
    </row>
    <row r="24" spans="1:32" s="25" customFormat="1" ht="13.7" customHeight="1" x14ac:dyDescent="0.2">
      <c r="A24" s="23"/>
      <c r="B24" s="34">
        <v>20729</v>
      </c>
      <c r="C24" s="32" t="s">
        <v>9</v>
      </c>
      <c r="D24" s="46">
        <f>F24/(1-'Cálc. Reaj. 2018 - Mensal. 2017'!$M$4)</f>
        <v>294.41624365482232</v>
      </c>
      <c r="E24" s="46">
        <f>D24*'Cálc. Reaj. 2018 - Mensal. 2017'!$M$4</f>
        <v>4.4162436548223347</v>
      </c>
      <c r="F24" s="35">
        <f>'Premissas Aprovadas'!$C$4</f>
        <v>290</v>
      </c>
      <c r="G24" s="36">
        <f>'Cálc. Reaj. 2018 - Mensal. 2017'!L26</f>
        <v>18</v>
      </c>
      <c r="H24" s="23"/>
      <c r="I24" s="63"/>
      <c r="J24" s="57"/>
      <c r="L24" s="44"/>
      <c r="M24" s="44"/>
      <c r="N24" s="44"/>
      <c r="O24" s="44"/>
    </row>
    <row r="25" spans="1:32" s="25" customFormat="1" ht="13.7" customHeight="1" x14ac:dyDescent="0.2">
      <c r="A25" s="23"/>
      <c r="B25" s="34">
        <v>20830</v>
      </c>
      <c r="C25" s="32" t="s">
        <v>19</v>
      </c>
      <c r="D25" s="46">
        <f>F25/(1-'Cálc. Reaj. 2018 - Mensal. 2017'!$M$4)</f>
        <v>294.41624365482232</v>
      </c>
      <c r="E25" s="46">
        <f>D25*'Cálc. Reaj. 2018 - Mensal. 2017'!$M$4</f>
        <v>4.4162436548223347</v>
      </c>
      <c r="F25" s="35">
        <f>'Premissas Aprovadas'!$C$4</f>
        <v>290</v>
      </c>
      <c r="G25" s="36">
        <f>'Cálc. Reaj. 2018 - Mensal. 2017'!L27</f>
        <v>18</v>
      </c>
      <c r="H25" s="23"/>
      <c r="I25" s="63"/>
      <c r="J25" s="57"/>
      <c r="L25" s="44"/>
      <c r="M25" s="44"/>
      <c r="N25" s="44"/>
      <c r="O25" s="44"/>
    </row>
    <row r="26" spans="1:32" s="25" customFormat="1" ht="13.7" customHeight="1" x14ac:dyDescent="0.2">
      <c r="A26" s="23"/>
      <c r="B26" s="34">
        <v>20007</v>
      </c>
      <c r="C26" s="32" t="s">
        <v>7</v>
      </c>
      <c r="D26" s="46">
        <f>F26/(1-'Cálc. Reaj. 2018 - Mensal. 2017'!$M$4)</f>
        <v>294.41624365482232</v>
      </c>
      <c r="E26" s="46">
        <f>D26*'Cálc. Reaj. 2018 - Mensal. 2017'!$M$4</f>
        <v>4.4162436548223347</v>
      </c>
      <c r="F26" s="35">
        <f>'Premissas Aprovadas'!$C$4</f>
        <v>290</v>
      </c>
      <c r="G26" s="36">
        <f>'Cálc. Reaj. 2018 - Mensal. 2017'!L28</f>
        <v>18</v>
      </c>
      <c r="H26" s="23"/>
      <c r="I26" s="63"/>
      <c r="J26" s="57"/>
      <c r="L26" s="44"/>
      <c r="M26" s="44"/>
      <c r="N26" s="44"/>
      <c r="O26" s="44"/>
    </row>
    <row r="27" spans="1:32" s="30" customFormat="1" ht="13.7" customHeight="1" x14ac:dyDescent="0.2">
      <c r="B27" s="34">
        <v>20833</v>
      </c>
      <c r="C27" s="32" t="s">
        <v>43</v>
      </c>
      <c r="D27" s="46">
        <f>F27/(1-'Cálc. Reaj. 2018 - Mensal. 2017'!$M$4)</f>
        <v>294.41624365482232</v>
      </c>
      <c r="E27" s="46">
        <f>D27*'Cálc. Reaj. 2018 - Mensal. 2017'!$M$4</f>
        <v>4.4162436548223347</v>
      </c>
      <c r="F27" s="35">
        <f>'Premissas Aprovadas'!$C$4</f>
        <v>290</v>
      </c>
      <c r="G27" s="36">
        <f>'Cálc. Reaj. 2018 - Mensal. 2017'!L29</f>
        <v>18</v>
      </c>
      <c r="I27" s="63"/>
      <c r="J27" s="57"/>
      <c r="K27" s="25"/>
      <c r="L27" s="62"/>
      <c r="M27" s="62"/>
      <c r="N27" s="44"/>
      <c r="O27" s="44"/>
      <c r="AF27" s="25"/>
    </row>
    <row r="28" spans="1:32" s="25" customFormat="1" ht="13.7" customHeight="1" x14ac:dyDescent="0.2">
      <c r="A28" s="23"/>
      <c r="B28" s="34">
        <v>20817</v>
      </c>
      <c r="C28" s="32" t="s">
        <v>17</v>
      </c>
      <c r="D28" s="46">
        <f>F28/(1-'Cálc. Reaj. 2018 - Mensal. 2017'!$M$4)</f>
        <v>294.41624365482232</v>
      </c>
      <c r="E28" s="46">
        <f>D28*'Cálc. Reaj. 2018 - Mensal. 2017'!$M$4</f>
        <v>4.4162436548223347</v>
      </c>
      <c r="F28" s="35">
        <f>'Premissas Aprovadas'!$C$4</f>
        <v>290</v>
      </c>
      <c r="G28" s="36">
        <f>'Cálc. Reaj. 2018 - Mensal. 2017'!L30</f>
        <v>18</v>
      </c>
      <c r="H28" s="23"/>
      <c r="I28" s="63"/>
      <c r="J28" s="57"/>
      <c r="L28" s="44"/>
      <c r="M28" s="44"/>
      <c r="N28" s="44"/>
      <c r="O28" s="44"/>
    </row>
    <row r="29" spans="1:32" s="25" customFormat="1" ht="13.7" customHeight="1" x14ac:dyDescent="0.2">
      <c r="A29" s="23"/>
      <c r="B29" s="34">
        <v>20012</v>
      </c>
      <c r="C29" s="32" t="s">
        <v>13</v>
      </c>
      <c r="D29" s="46">
        <f>F29/(1-'Cálc. Reaj. 2018 - Mensal. 2017'!$M$4)</f>
        <v>294.41624365482232</v>
      </c>
      <c r="E29" s="46">
        <f>D29*'Cálc. Reaj. 2018 - Mensal. 2017'!$M$4</f>
        <v>4.4162436548223347</v>
      </c>
      <c r="F29" s="35">
        <f>'Premissas Aprovadas'!$C$4</f>
        <v>290</v>
      </c>
      <c r="G29" s="36">
        <f>'Cálc. Reaj. 2018 - Mensal. 2017'!L31</f>
        <v>18</v>
      </c>
      <c r="H29" s="23"/>
      <c r="I29" s="63"/>
      <c r="J29" s="57"/>
      <c r="L29" s="44"/>
      <c r="M29" s="44"/>
      <c r="N29" s="44"/>
      <c r="O29" s="44"/>
    </row>
    <row r="30" spans="1:32" s="25" customFormat="1" ht="13.7" customHeight="1" x14ac:dyDescent="0.2">
      <c r="A30" s="23"/>
      <c r="B30" s="34">
        <v>20816</v>
      </c>
      <c r="C30" s="32" t="s">
        <v>18</v>
      </c>
      <c r="D30" s="46">
        <f>F30/(1-'Cálc. Reaj. 2018 - Mensal. 2017'!$M$4)</f>
        <v>294.41624365482232</v>
      </c>
      <c r="E30" s="46">
        <f>D30*'Cálc. Reaj. 2018 - Mensal. 2017'!$M$4</f>
        <v>4.4162436548223347</v>
      </c>
      <c r="F30" s="35">
        <f>'Premissas Aprovadas'!$C$4</f>
        <v>290</v>
      </c>
      <c r="G30" s="36">
        <f>'Cálc. Reaj. 2018 - Mensal. 2017'!L32</f>
        <v>18</v>
      </c>
      <c r="H30" s="23"/>
      <c r="I30" s="63"/>
      <c r="J30" s="57"/>
      <c r="L30" s="44"/>
      <c r="M30" s="44"/>
      <c r="N30" s="44"/>
      <c r="O30" s="44"/>
    </row>
    <row r="31" spans="1:32" s="30" customFormat="1" ht="13.7" customHeight="1" x14ac:dyDescent="0.2">
      <c r="B31" s="54">
        <v>20026</v>
      </c>
      <c r="C31" s="32" t="s">
        <v>41</v>
      </c>
      <c r="D31" s="46">
        <f>F31/(1-'Cálc. Reaj. 2018 - Mensal. 2017'!$M$4)</f>
        <v>294.41624365482232</v>
      </c>
      <c r="E31" s="46">
        <f>D31*'Cálc. Reaj. 2018 - Mensal. 2017'!$M$4</f>
        <v>4.4162436548223347</v>
      </c>
      <c r="F31" s="35">
        <f>'Premissas Aprovadas'!$C$4</f>
        <v>290</v>
      </c>
      <c r="G31" s="36">
        <f>'Cálc. Reaj. 2018 - Mensal. 2017'!L33</f>
        <v>18</v>
      </c>
      <c r="I31" s="63"/>
      <c r="J31" s="57"/>
      <c r="K31" s="25"/>
      <c r="L31" s="62"/>
      <c r="M31" s="62"/>
      <c r="N31" s="44"/>
      <c r="O31" s="44"/>
      <c r="AF31" s="25"/>
    </row>
    <row r="32" spans="1:32" s="25" customFormat="1" ht="13.7" customHeight="1" x14ac:dyDescent="0.2">
      <c r="A32" s="23"/>
      <c r="B32" s="34">
        <v>20022</v>
      </c>
      <c r="C32" s="32" t="s">
        <v>48</v>
      </c>
      <c r="D32" s="46">
        <f>F32/(1-'Cálc. Reaj. 2018 - Mensal. 2017'!$M$4)</f>
        <v>294.41624365482232</v>
      </c>
      <c r="E32" s="46">
        <f>D32*'Cálc. Reaj. 2018 - Mensal. 2017'!$M$4</f>
        <v>4.4162436548223347</v>
      </c>
      <c r="F32" s="35">
        <f>'Premissas Aprovadas'!$C$4</f>
        <v>290</v>
      </c>
      <c r="G32" s="36">
        <f>'Cálc. Reaj. 2018 - Mensal. 2017'!L34</f>
        <v>18</v>
      </c>
      <c r="H32" s="23"/>
      <c r="I32" s="63"/>
      <c r="J32" s="57"/>
      <c r="L32" s="44"/>
      <c r="M32" s="44"/>
      <c r="N32" s="44"/>
      <c r="O32" s="44"/>
    </row>
    <row r="33" spans="1:32" s="25" customFormat="1" ht="13.7" customHeight="1" x14ac:dyDescent="0.2">
      <c r="A33" s="23"/>
      <c r="B33" s="34">
        <v>20031</v>
      </c>
      <c r="C33" s="32" t="s">
        <v>23</v>
      </c>
      <c r="D33" s="46">
        <f>F33/(1-'Cálc. Reaj. 2018 - Mensal. 2017'!$M$4)</f>
        <v>294.41624365482232</v>
      </c>
      <c r="E33" s="46">
        <f>D33*'Cálc. Reaj. 2018 - Mensal. 2017'!$M$4</f>
        <v>4.4162436548223347</v>
      </c>
      <c r="F33" s="35">
        <f>'Premissas Aprovadas'!$C$4</f>
        <v>290</v>
      </c>
      <c r="G33" s="36">
        <f>'Cálc. Reaj. 2018 - Mensal. 2017'!L35</f>
        <v>18</v>
      </c>
      <c r="H33" s="23"/>
      <c r="I33" s="63"/>
      <c r="J33" s="57"/>
      <c r="L33" s="44"/>
      <c r="M33" s="44"/>
      <c r="N33" s="44"/>
      <c r="O33" s="44"/>
    </row>
    <row r="34" spans="1:32" s="30" customFormat="1" ht="13.7" customHeight="1" x14ac:dyDescent="0.2">
      <c r="B34" s="34">
        <v>20832</v>
      </c>
      <c r="C34" s="32" t="s">
        <v>44</v>
      </c>
      <c r="D34" s="46">
        <f>F34/(1-'Cálc. Reaj. 2018 - Mensal. 2017'!$M$4)</f>
        <v>294.41624365482232</v>
      </c>
      <c r="E34" s="46">
        <f>D34*'Cálc. Reaj. 2018 - Mensal. 2017'!$M$4</f>
        <v>4.4162436548223347</v>
      </c>
      <c r="F34" s="35">
        <f>'Premissas Aprovadas'!$C$4</f>
        <v>290</v>
      </c>
      <c r="G34" s="36">
        <f>'Cálc. Reaj. 2018 - Mensal. 2017'!L36</f>
        <v>18</v>
      </c>
      <c r="I34" s="63"/>
      <c r="J34" s="57"/>
      <c r="K34" s="25"/>
      <c r="L34" s="62"/>
      <c r="M34" s="62"/>
      <c r="N34" s="44"/>
      <c r="O34" s="44"/>
      <c r="AF34" s="25"/>
    </row>
    <row r="35" spans="1:32" s="25" customFormat="1" ht="13.5" customHeight="1" x14ac:dyDescent="0.2">
      <c r="A35" s="45"/>
      <c r="B35" s="34">
        <v>20801</v>
      </c>
      <c r="C35" s="32" t="s">
        <v>10</v>
      </c>
      <c r="D35" s="46">
        <f>F35/(1-'Cálc. Reaj. 2018 - Mensal. 2017'!$M$4)</f>
        <v>294.41624365482232</v>
      </c>
      <c r="E35" s="46">
        <f>D35*'Cálc. Reaj. 2018 - Mensal. 2017'!$M$4</f>
        <v>4.4162436548223347</v>
      </c>
      <c r="F35" s="35">
        <f>'Premissas Aprovadas'!$C$4</f>
        <v>290</v>
      </c>
      <c r="G35" s="36">
        <f>'Cálc. Reaj. 2018 - Mensal. 2017'!L37</f>
        <v>18</v>
      </c>
      <c r="H35" s="23"/>
      <c r="I35" s="63"/>
      <c r="J35" s="57"/>
      <c r="L35" s="44"/>
      <c r="M35" s="44"/>
      <c r="N35" s="44"/>
      <c r="O35" s="44"/>
    </row>
    <row r="36" spans="1:32" s="25" customFormat="1" ht="13.7" customHeight="1" x14ac:dyDescent="0.2">
      <c r="A36" s="45"/>
      <c r="B36" s="54">
        <v>20023</v>
      </c>
      <c r="C36" s="32" t="s">
        <v>49</v>
      </c>
      <c r="D36" s="46">
        <f>F36/(1-'Cálc. Reaj. 2018 - Mensal. 2017'!$M$4)</f>
        <v>294.42</v>
      </c>
      <c r="E36" s="46">
        <f>D36-F36</f>
        <v>4.4162999999999784</v>
      </c>
      <c r="F36" s="35">
        <f>[1]Orçamento!$I$70</f>
        <v>290.00370000000004</v>
      </c>
      <c r="G36" s="36">
        <f>'[1]Dados do Curso'!$H$13</f>
        <v>18</v>
      </c>
      <c r="H36" s="23"/>
      <c r="I36" s="63"/>
      <c r="J36" s="57"/>
      <c r="L36" s="44"/>
      <c r="M36" s="44"/>
      <c r="N36" s="44"/>
      <c r="O36" s="44"/>
    </row>
    <row r="37" spans="1:32" s="25" customFormat="1" ht="13.7" customHeight="1" x14ac:dyDescent="0.2">
      <c r="A37" s="45"/>
      <c r="B37" s="102" t="s">
        <v>375</v>
      </c>
      <c r="C37" s="32" t="s">
        <v>363</v>
      </c>
      <c r="D37" s="46">
        <f>F37/(1-'Cálc. Reaj. 2018 - Mensal. 2017'!$M$4)</f>
        <v>294.42</v>
      </c>
      <c r="E37" s="46">
        <f t="shared" ref="E37:E65" si="0">D37-F37</f>
        <v>4.4162999999999784</v>
      </c>
      <c r="F37" s="35">
        <f>[2]Orçamento!$I$70</f>
        <v>290.00370000000004</v>
      </c>
      <c r="G37" s="36">
        <f>'[2]Dados do Curso'!$H$13</f>
        <v>18</v>
      </c>
      <c r="H37" s="23"/>
      <c r="I37" s="63"/>
      <c r="J37" s="57"/>
      <c r="L37" s="44"/>
      <c r="M37" s="44"/>
    </row>
    <row r="38" spans="1:32" s="25" customFormat="1" ht="13.7" customHeight="1" x14ac:dyDescent="0.2">
      <c r="A38" s="45"/>
      <c r="B38" s="102" t="s">
        <v>375</v>
      </c>
      <c r="C38" s="32" t="s">
        <v>364</v>
      </c>
      <c r="D38" s="46">
        <f>F38/(1-'Cálc. Reaj. 2018 - Mensal. 2017'!$M$4)</f>
        <v>294.42</v>
      </c>
      <c r="E38" s="46">
        <f t="shared" si="0"/>
        <v>4.4162999999999784</v>
      </c>
      <c r="F38" s="35">
        <f>[3]Orçamento!$I$70</f>
        <v>290.00370000000004</v>
      </c>
      <c r="G38" s="36">
        <f>'[3]Dados do Curso'!$H$13</f>
        <v>18</v>
      </c>
      <c r="H38" s="23"/>
      <c r="I38" s="63"/>
      <c r="J38" s="57"/>
      <c r="L38" s="44"/>
      <c r="M38" s="44"/>
    </row>
    <row r="39" spans="1:32" s="25" customFormat="1" ht="13.7" customHeight="1" x14ac:dyDescent="0.2">
      <c r="A39" s="45"/>
      <c r="B39" s="102" t="s">
        <v>375</v>
      </c>
      <c r="C39" s="32" t="s">
        <v>365</v>
      </c>
      <c r="D39" s="46">
        <f>F39/(1-'Cálc. Reaj. 2018 - Mensal. 2017'!$M$4)</f>
        <v>294.42</v>
      </c>
      <c r="E39" s="46">
        <f t="shared" si="0"/>
        <v>4.4162999999999784</v>
      </c>
      <c r="F39" s="35">
        <f>[4]Orçamento!$I$70</f>
        <v>290.00370000000004</v>
      </c>
      <c r="G39" s="36">
        <f>'[4]Dados do Curso'!$H$13</f>
        <v>18</v>
      </c>
      <c r="H39" s="23"/>
      <c r="I39" s="63"/>
      <c r="J39" s="57"/>
      <c r="L39" s="44"/>
      <c r="M39" s="44"/>
    </row>
    <row r="40" spans="1:32" s="25" customFormat="1" ht="13.7" customHeight="1" x14ac:dyDescent="0.2">
      <c r="A40" s="45"/>
      <c r="B40" s="102" t="s">
        <v>375</v>
      </c>
      <c r="C40" s="32" t="s">
        <v>366</v>
      </c>
      <c r="D40" s="46">
        <f>F40/(1-'Cálc. Reaj. 2018 - Mensal. 2017'!$M$4)</f>
        <v>294.42</v>
      </c>
      <c r="E40" s="46">
        <f t="shared" si="0"/>
        <v>4.4162999999999784</v>
      </c>
      <c r="F40" s="35">
        <f>[5]Orçamento!$I$70</f>
        <v>290.00370000000004</v>
      </c>
      <c r="G40" s="36">
        <f>'[5]Dados do Curso'!$H$13</f>
        <v>18</v>
      </c>
      <c r="H40" s="23"/>
      <c r="I40" s="63"/>
      <c r="J40" s="57"/>
      <c r="L40" s="44"/>
      <c r="M40" s="44"/>
    </row>
    <row r="41" spans="1:32" s="25" customFormat="1" ht="13.7" customHeight="1" x14ac:dyDescent="0.2">
      <c r="A41" s="45"/>
      <c r="B41" s="102" t="s">
        <v>375</v>
      </c>
      <c r="C41" s="32" t="s">
        <v>367</v>
      </c>
      <c r="D41" s="46">
        <f>F41/(1-'Cálc. Reaj. 2018 - Mensal. 2017'!$M$4)</f>
        <v>294.42</v>
      </c>
      <c r="E41" s="46">
        <f t="shared" si="0"/>
        <v>4.4162999999999784</v>
      </c>
      <c r="F41" s="35">
        <f>[6]Orçamento!$I$70</f>
        <v>290.00370000000004</v>
      </c>
      <c r="G41" s="36">
        <f>'[6]Dados do Curso'!$H$13</f>
        <v>18</v>
      </c>
      <c r="H41" s="23"/>
      <c r="I41" s="63"/>
      <c r="J41" s="57"/>
      <c r="L41" s="44"/>
      <c r="M41" s="44"/>
    </row>
    <row r="42" spans="1:32" s="25" customFormat="1" ht="13.7" customHeight="1" x14ac:dyDescent="0.2">
      <c r="A42" s="45"/>
      <c r="B42" s="102" t="s">
        <v>375</v>
      </c>
      <c r="C42" s="32" t="s">
        <v>368</v>
      </c>
      <c r="D42" s="46">
        <f>F42/(1-'Cálc. Reaj. 2018 - Mensal. 2017'!$M$4)</f>
        <v>294.42</v>
      </c>
      <c r="E42" s="46">
        <f t="shared" si="0"/>
        <v>4.4162999999999784</v>
      </c>
      <c r="F42" s="35">
        <f>[7]Orçamento!$I$70</f>
        <v>290.00370000000004</v>
      </c>
      <c r="G42" s="36">
        <f>'[7]Dados do Curso'!$H$13</f>
        <v>18</v>
      </c>
      <c r="H42" s="23"/>
      <c r="I42" s="63"/>
      <c r="J42" s="57"/>
      <c r="L42" s="44"/>
      <c r="M42" s="44"/>
    </row>
    <row r="43" spans="1:32" s="25" customFormat="1" ht="13.7" customHeight="1" x14ac:dyDescent="0.2">
      <c r="A43" s="45"/>
      <c r="B43" s="102" t="s">
        <v>375</v>
      </c>
      <c r="C43" s="32" t="s">
        <v>369</v>
      </c>
      <c r="D43" s="46">
        <f>F43/(1-'Cálc. Reaj. 2018 - Mensal. 2017'!$M$4)</f>
        <v>294.42</v>
      </c>
      <c r="E43" s="46">
        <f t="shared" si="0"/>
        <v>4.4162999999999784</v>
      </c>
      <c r="F43" s="35">
        <f>[8]Orçamento!$I$70</f>
        <v>290.00370000000004</v>
      </c>
      <c r="G43" s="36">
        <f>'[8]Dados do Curso'!$H$13</f>
        <v>18</v>
      </c>
      <c r="H43" s="23"/>
      <c r="I43" s="63"/>
      <c r="J43" s="57"/>
      <c r="L43" s="44"/>
      <c r="M43" s="44"/>
    </row>
    <row r="44" spans="1:32" s="25" customFormat="1" ht="13.7" customHeight="1" x14ac:dyDescent="0.2">
      <c r="A44" s="45"/>
      <c r="B44" s="102">
        <v>20843</v>
      </c>
      <c r="C44" s="32" t="s">
        <v>370</v>
      </c>
      <c r="D44" s="46">
        <f>F44/(1-'Cálc. Reaj. 2018 - Mensal. 2017'!$M$4)</f>
        <v>294.42</v>
      </c>
      <c r="E44" s="46">
        <f t="shared" si="0"/>
        <v>4.4162999999999784</v>
      </c>
      <c r="F44" s="35">
        <f>[9]Orçamento!$I$70</f>
        <v>290.00370000000004</v>
      </c>
      <c r="G44" s="36">
        <f>'[9]Dados do Curso'!$H$13</f>
        <v>18</v>
      </c>
      <c r="H44" s="23"/>
      <c r="I44" s="63"/>
      <c r="J44" s="57"/>
      <c r="L44" s="44"/>
      <c r="M44" s="44"/>
    </row>
    <row r="45" spans="1:32" s="25" customFormat="1" ht="13.7" customHeight="1" x14ac:dyDescent="0.2">
      <c r="A45" s="45"/>
      <c r="B45" s="102">
        <v>20844</v>
      </c>
      <c r="C45" s="32" t="s">
        <v>371</v>
      </c>
      <c r="D45" s="46">
        <f>F45/(1-'Cálc. Reaj. 2018 - Mensal. 2017'!$M$4)</f>
        <v>294.42</v>
      </c>
      <c r="E45" s="46">
        <f t="shared" si="0"/>
        <v>4.4162999999999784</v>
      </c>
      <c r="F45" s="35">
        <f>[10]Orçamento!$I$70</f>
        <v>290.00370000000004</v>
      </c>
      <c r="G45" s="36">
        <f>'[10]Dados do Curso'!$H$13</f>
        <v>18</v>
      </c>
      <c r="H45" s="23"/>
      <c r="I45" s="63"/>
      <c r="J45" s="57"/>
      <c r="L45" s="44"/>
      <c r="M45" s="44"/>
    </row>
    <row r="46" spans="1:32" s="25" customFormat="1" ht="13.7" customHeight="1" x14ac:dyDescent="0.2">
      <c r="A46" s="45"/>
      <c r="B46" s="102">
        <v>20839</v>
      </c>
      <c r="C46" s="32" t="s">
        <v>372</v>
      </c>
      <c r="D46" s="46">
        <f>F46/(1-'Cálc. Reaj. 2018 - Mensal. 2017'!$M$4)</f>
        <v>294.42</v>
      </c>
      <c r="E46" s="46">
        <f t="shared" si="0"/>
        <v>4.4162999999999784</v>
      </c>
      <c r="F46" s="35">
        <f>[11]Orçamento!$I$70</f>
        <v>290.00370000000004</v>
      </c>
      <c r="G46" s="36">
        <f>'[11]Dados do Curso'!$H$13</f>
        <v>18</v>
      </c>
      <c r="H46" s="23"/>
      <c r="I46" s="63"/>
      <c r="J46" s="57"/>
      <c r="L46" s="44"/>
      <c r="M46" s="44"/>
    </row>
    <row r="47" spans="1:32" s="25" customFormat="1" ht="13.7" customHeight="1" x14ac:dyDescent="0.2">
      <c r="A47" s="45"/>
      <c r="B47" s="102">
        <v>20835</v>
      </c>
      <c r="C47" s="32" t="s">
        <v>373</v>
      </c>
      <c r="D47" s="46">
        <f>F47/(1-'Cálc. Reaj. 2018 - Mensal. 2017'!$M$4)</f>
        <v>294.42</v>
      </c>
      <c r="E47" s="46">
        <f t="shared" si="0"/>
        <v>4.4162999999999784</v>
      </c>
      <c r="F47" s="35">
        <f>[12]Orçamento!$I$70</f>
        <v>290.00370000000004</v>
      </c>
      <c r="G47" s="36">
        <f>'[12]Dados do Curso'!$H$13</f>
        <v>18</v>
      </c>
      <c r="H47" s="23"/>
      <c r="I47" s="63"/>
      <c r="J47" s="57"/>
      <c r="L47" s="44"/>
      <c r="M47" s="44"/>
    </row>
    <row r="48" spans="1:32" s="25" customFormat="1" ht="13.7" customHeight="1" x14ac:dyDescent="0.2">
      <c r="A48" s="45"/>
      <c r="B48" s="102" t="s">
        <v>375</v>
      </c>
      <c r="C48" s="32" t="s">
        <v>374</v>
      </c>
      <c r="D48" s="46">
        <f>F48/(1-'Cálc. Reaj. 2018 - Mensal. 2017'!$M$4)</f>
        <v>294.42</v>
      </c>
      <c r="E48" s="46">
        <f t="shared" si="0"/>
        <v>4.4162999999999784</v>
      </c>
      <c r="F48" s="35">
        <f>[13]Orçamento!$I$70</f>
        <v>290.00370000000004</v>
      </c>
      <c r="G48" s="36">
        <f>'[13]Dados do Curso'!$H$13</f>
        <v>18</v>
      </c>
      <c r="H48" s="23"/>
      <c r="I48" s="63"/>
      <c r="J48" s="57"/>
      <c r="L48" s="44"/>
      <c r="M48" s="44"/>
    </row>
    <row r="49" spans="1:13" s="25" customFormat="1" ht="13.7" customHeight="1" x14ac:dyDescent="0.2">
      <c r="A49" s="45"/>
      <c r="B49" s="102" t="s">
        <v>375</v>
      </c>
      <c r="C49" s="32" t="s">
        <v>377</v>
      </c>
      <c r="D49" s="46">
        <f>F49/(1-'Cálc. Reaj. 2018 - Mensal. 2017'!$M$4)</f>
        <v>294.42</v>
      </c>
      <c r="E49" s="46">
        <f t="shared" si="0"/>
        <v>4.4162999999999784</v>
      </c>
      <c r="F49" s="35">
        <f>[13]Orçamento!$I$70</f>
        <v>290.00370000000004</v>
      </c>
      <c r="G49" s="36">
        <f>'[13]Dados do Curso'!$H$13</f>
        <v>18</v>
      </c>
      <c r="H49" s="23"/>
      <c r="I49" s="63"/>
      <c r="J49" s="57"/>
    </row>
    <row r="50" spans="1:13" s="25" customFormat="1" ht="13.7" customHeight="1" x14ac:dyDescent="0.2">
      <c r="A50" s="45"/>
      <c r="B50" s="102" t="s">
        <v>375</v>
      </c>
      <c r="C50" s="32" t="s">
        <v>382</v>
      </c>
      <c r="D50" s="46">
        <f>F50/(1-'Cálc. Reaj. 2018 - Mensal. 2017'!$M$4)</f>
        <v>294.42</v>
      </c>
      <c r="E50" s="46">
        <f t="shared" si="0"/>
        <v>4.4162999999999784</v>
      </c>
      <c r="F50" s="35">
        <f>[14]Orçamento!$I$70</f>
        <v>290.00370000000004</v>
      </c>
      <c r="G50" s="36">
        <f>'[14]Dados do Curso'!$H$13</f>
        <v>18</v>
      </c>
      <c r="H50" s="23"/>
      <c r="I50" s="24"/>
      <c r="L50" s="44"/>
      <c r="M50" s="44"/>
    </row>
    <row r="51" spans="1:13" s="25" customFormat="1" ht="13.7" customHeight="1" x14ac:dyDescent="0.2">
      <c r="A51" s="45"/>
      <c r="B51" s="102" t="s">
        <v>375</v>
      </c>
      <c r="C51" s="32" t="s">
        <v>383</v>
      </c>
      <c r="D51" s="46">
        <f>F51/(1-'Cálc. Reaj. 2018 - Mensal. 2017'!$M$4)</f>
        <v>294.42</v>
      </c>
      <c r="E51" s="46">
        <f t="shared" si="0"/>
        <v>4.4162999999999784</v>
      </c>
      <c r="F51" s="35">
        <f>[15]Orçamento!$I$70</f>
        <v>290.00370000000004</v>
      </c>
      <c r="G51" s="36">
        <f>'[15]Dados do Curso'!$H$13</f>
        <v>18</v>
      </c>
      <c r="H51" s="23"/>
      <c r="I51" s="24"/>
      <c r="L51" s="44"/>
      <c r="M51" s="44"/>
    </row>
    <row r="52" spans="1:13" s="25" customFormat="1" ht="13.7" customHeight="1" x14ac:dyDescent="0.2">
      <c r="A52" s="45"/>
      <c r="B52" s="102" t="s">
        <v>375</v>
      </c>
      <c r="C52" s="32" t="s">
        <v>384</v>
      </c>
      <c r="D52" s="46">
        <f>F52/(1-'Cálc. Reaj. 2018 - Mensal. 2017'!$M$4)</f>
        <v>294.42</v>
      </c>
      <c r="E52" s="46">
        <f t="shared" si="0"/>
        <v>4.4162999999999784</v>
      </c>
      <c r="F52" s="35">
        <f>[16]Orçamento!$I$70</f>
        <v>290.00370000000004</v>
      </c>
      <c r="G52" s="36">
        <f>'[16]Dados do Curso'!$H$13</f>
        <v>18</v>
      </c>
      <c r="H52" s="23"/>
      <c r="I52" s="24"/>
      <c r="L52" s="44"/>
      <c r="M52" s="44"/>
    </row>
    <row r="53" spans="1:13" s="25" customFormat="1" ht="13.7" customHeight="1" x14ac:dyDescent="0.2">
      <c r="A53" s="45"/>
      <c r="B53" s="102" t="s">
        <v>375</v>
      </c>
      <c r="C53" s="32" t="s">
        <v>385</v>
      </c>
      <c r="D53" s="46">
        <f>F53/(1-'Cálc. Reaj. 2018 - Mensal. 2017'!$M$4)</f>
        <v>294.42</v>
      </c>
      <c r="E53" s="46">
        <f t="shared" si="0"/>
        <v>4.4162999999999784</v>
      </c>
      <c r="F53" s="35">
        <f>[17]Orçamento!$I$70</f>
        <v>290.00370000000004</v>
      </c>
      <c r="G53" s="36">
        <f>'[17]Dados do Curso'!$H$13</f>
        <v>18</v>
      </c>
      <c r="H53" s="23"/>
      <c r="I53" s="24"/>
      <c r="L53" s="44"/>
      <c r="M53" s="44"/>
    </row>
    <row r="54" spans="1:13" s="25" customFormat="1" ht="13.7" customHeight="1" x14ac:dyDescent="0.2">
      <c r="A54" s="45"/>
      <c r="B54" s="102" t="s">
        <v>375</v>
      </c>
      <c r="C54" s="32" t="s">
        <v>386</v>
      </c>
      <c r="D54" s="46">
        <f>F54/(1-'Cálc. Reaj. 2018 - Mensal. 2017'!$M$4)</f>
        <v>294.42</v>
      </c>
      <c r="E54" s="46">
        <f t="shared" si="0"/>
        <v>4.4162999999999784</v>
      </c>
      <c r="F54" s="35">
        <f>[18]Orçamento!$I$70</f>
        <v>290.00370000000004</v>
      </c>
      <c r="G54" s="36">
        <f>'[18]Dados do Curso'!$H$13</f>
        <v>18</v>
      </c>
      <c r="H54" s="23"/>
      <c r="I54" s="24"/>
      <c r="L54" s="44"/>
      <c r="M54" s="44"/>
    </row>
    <row r="55" spans="1:13" s="25" customFormat="1" ht="13.7" customHeight="1" x14ac:dyDescent="0.2">
      <c r="A55" s="45"/>
      <c r="B55" s="102" t="s">
        <v>375</v>
      </c>
      <c r="C55" s="32" t="s">
        <v>387</v>
      </c>
      <c r="D55" s="46">
        <f>F55/(1-'Cálc. Reaj. 2018 - Mensal. 2017'!$M$4)</f>
        <v>294.42</v>
      </c>
      <c r="E55" s="46">
        <f t="shared" si="0"/>
        <v>4.4162999999999784</v>
      </c>
      <c r="F55" s="35">
        <f>[19]Orçamento!$I$70</f>
        <v>290.00370000000004</v>
      </c>
      <c r="G55" s="36">
        <f>'[19]Dados do Curso'!$H$13</f>
        <v>18</v>
      </c>
      <c r="H55" s="23"/>
      <c r="I55" s="24"/>
      <c r="L55" s="44"/>
      <c r="M55" s="44"/>
    </row>
    <row r="56" spans="1:13" s="25" customFormat="1" ht="16.899999999999999" customHeight="1" x14ac:dyDescent="0.2">
      <c r="A56" s="23"/>
      <c r="B56" s="102" t="s">
        <v>375</v>
      </c>
      <c r="C56" s="32" t="s">
        <v>388</v>
      </c>
      <c r="D56" s="46">
        <f>F56/(1-'Cálc. Reaj. 2018 - Mensal. 2017'!$M$4)</f>
        <v>294.42</v>
      </c>
      <c r="E56" s="46">
        <f t="shared" si="0"/>
        <v>4.4162999999999784</v>
      </c>
      <c r="F56" s="35">
        <f>[20]Orçamento!$I$70</f>
        <v>290.00370000000004</v>
      </c>
      <c r="G56" s="36">
        <f>'[20]Dados do Curso'!$H$13</f>
        <v>18</v>
      </c>
      <c r="H56" s="23"/>
      <c r="I56" s="24"/>
    </row>
    <row r="57" spans="1:13" s="25" customFormat="1" ht="16.899999999999999" customHeight="1" x14ac:dyDescent="0.2">
      <c r="A57" s="23"/>
      <c r="B57" s="102" t="s">
        <v>375</v>
      </c>
      <c r="C57" s="32" t="s">
        <v>389</v>
      </c>
      <c r="D57" s="46">
        <f>F57/(1-'Cálc. Reaj. 2018 - Mensal. 2017'!$M$4)</f>
        <v>294.42</v>
      </c>
      <c r="E57" s="46">
        <f t="shared" si="0"/>
        <v>4.4162999999999784</v>
      </c>
      <c r="F57" s="35">
        <f>[21]Orçamento!$I$70</f>
        <v>290.00370000000004</v>
      </c>
      <c r="G57" s="36">
        <f>'[21]Dados do Curso'!$H$13</f>
        <v>18</v>
      </c>
      <c r="H57" s="23"/>
      <c r="I57" s="24"/>
    </row>
    <row r="58" spans="1:13" s="25" customFormat="1" ht="16.899999999999999" customHeight="1" x14ac:dyDescent="0.2">
      <c r="A58" s="23"/>
      <c r="B58" s="102" t="s">
        <v>375</v>
      </c>
      <c r="C58" s="32" t="s">
        <v>390</v>
      </c>
      <c r="D58" s="46">
        <f>F58/(1-'Cálc. Reaj. 2018 - Mensal. 2017'!$M$4)</f>
        <v>294.42</v>
      </c>
      <c r="E58" s="46">
        <f t="shared" si="0"/>
        <v>4.4162999999999784</v>
      </c>
      <c r="F58" s="35">
        <f>[22]Orçamento!$I$70</f>
        <v>290.00370000000004</v>
      </c>
      <c r="G58" s="36">
        <f>'[22]Dados do Curso'!$H$13</f>
        <v>18</v>
      </c>
      <c r="H58" s="17"/>
      <c r="I58" s="24"/>
    </row>
    <row r="59" spans="1:13" s="25" customFormat="1" ht="16.899999999999999" customHeight="1" x14ac:dyDescent="0.2">
      <c r="A59" s="23"/>
      <c r="B59" s="102" t="s">
        <v>375</v>
      </c>
      <c r="C59" s="32" t="s">
        <v>391</v>
      </c>
      <c r="D59" s="46">
        <f>F59/(1-'Cálc. Reaj. 2018 - Mensal. 2017'!$M$4)</f>
        <v>294.42</v>
      </c>
      <c r="E59" s="46">
        <f t="shared" si="0"/>
        <v>4.4162999999999784</v>
      </c>
      <c r="F59" s="35">
        <f>[23]Orçamento!$I$70</f>
        <v>290.00370000000004</v>
      </c>
      <c r="G59" s="36">
        <f>'[23]Dados do Curso'!$H$13</f>
        <v>18</v>
      </c>
      <c r="H59" s="17"/>
      <c r="I59" s="24"/>
    </row>
    <row r="60" spans="1:13" s="25" customFormat="1" ht="16.899999999999999" customHeight="1" x14ac:dyDescent="0.2">
      <c r="A60" s="23"/>
      <c r="B60" s="102" t="s">
        <v>375</v>
      </c>
      <c r="C60" s="32" t="s">
        <v>392</v>
      </c>
      <c r="D60" s="46">
        <f>F60/(1-'Cálc. Reaj. 2018 - Mensal. 2017'!$M$4)</f>
        <v>294.42</v>
      </c>
      <c r="E60" s="46">
        <f t="shared" si="0"/>
        <v>4.4162999999999784</v>
      </c>
      <c r="F60" s="35">
        <f>[24]Orçamento!$I$70</f>
        <v>290.00370000000004</v>
      </c>
      <c r="G60" s="36">
        <f>'[24]Dados do Curso'!$H$13</f>
        <v>18</v>
      </c>
      <c r="H60" s="17"/>
      <c r="I60" s="24"/>
    </row>
    <row r="61" spans="1:13" s="25" customFormat="1" ht="16.899999999999999" customHeight="1" x14ac:dyDescent="0.2">
      <c r="A61" s="23"/>
      <c r="B61" s="102" t="s">
        <v>375</v>
      </c>
      <c r="C61" s="32" t="s">
        <v>393</v>
      </c>
      <c r="D61" s="46">
        <f>F61/(1-'Cálc. Reaj. 2018 - Mensal. 2017'!$M$4)</f>
        <v>294.42</v>
      </c>
      <c r="E61" s="46">
        <f t="shared" si="0"/>
        <v>4.4162999999999784</v>
      </c>
      <c r="F61" s="35">
        <f>[25]Orçamento!$I$70</f>
        <v>290.00370000000004</v>
      </c>
      <c r="G61" s="36">
        <f>'[25]Dados do Curso'!$H$13</f>
        <v>18</v>
      </c>
      <c r="H61" s="17"/>
      <c r="I61" s="24"/>
    </row>
    <row r="62" spans="1:13" s="25" customFormat="1" ht="16.899999999999999" customHeight="1" x14ac:dyDescent="0.2">
      <c r="A62" s="23"/>
      <c r="B62" s="102" t="s">
        <v>375</v>
      </c>
      <c r="C62" s="32" t="s">
        <v>394</v>
      </c>
      <c r="D62" s="46">
        <f>F62/(1-'Cálc. Reaj. 2018 - Mensal. 2017'!$M$4)</f>
        <v>294.42</v>
      </c>
      <c r="E62" s="46">
        <f t="shared" si="0"/>
        <v>4.4162999999999784</v>
      </c>
      <c r="F62" s="35">
        <f>[26]Orçamento!$I$70</f>
        <v>290.00370000000004</v>
      </c>
      <c r="G62" s="36">
        <f>'[26]Dados do Curso'!$H$13</f>
        <v>18</v>
      </c>
      <c r="H62" s="17"/>
      <c r="I62" s="24"/>
    </row>
    <row r="63" spans="1:13" s="25" customFormat="1" ht="16.899999999999999" customHeight="1" x14ac:dyDescent="0.2">
      <c r="A63" s="23"/>
      <c r="B63" s="102" t="s">
        <v>375</v>
      </c>
      <c r="C63" s="32" t="s">
        <v>395</v>
      </c>
      <c r="D63" s="46">
        <f>F63/(1-'Cálc. Reaj. 2018 - Mensal. 2017'!$M$4)</f>
        <v>294.42</v>
      </c>
      <c r="E63" s="46">
        <f t="shared" si="0"/>
        <v>4.4162999999999784</v>
      </c>
      <c r="F63" s="35">
        <f>[27]Orçamento!$I$70</f>
        <v>290.00370000000004</v>
      </c>
      <c r="G63" s="36">
        <f>'[27]Dados do Curso'!$H$13</f>
        <v>18</v>
      </c>
      <c r="H63" s="17"/>
      <c r="I63" s="24"/>
    </row>
    <row r="64" spans="1:13" s="25" customFormat="1" ht="16.899999999999999" customHeight="1" x14ac:dyDescent="0.2">
      <c r="A64" s="23"/>
      <c r="B64" s="102" t="s">
        <v>375</v>
      </c>
      <c r="C64" s="32" t="s">
        <v>396</v>
      </c>
      <c r="D64" s="46">
        <f>F64/(1-'Cálc. Reaj. 2018 - Mensal. 2017'!$M$4)</f>
        <v>294.42</v>
      </c>
      <c r="E64" s="46">
        <f t="shared" si="0"/>
        <v>4.4162999999999784</v>
      </c>
      <c r="F64" s="35">
        <f>[28]Orçamento!$I$70</f>
        <v>290.00370000000004</v>
      </c>
      <c r="G64" s="36">
        <f>'[28]Dados do Curso'!$H$13</f>
        <v>18</v>
      </c>
      <c r="H64" s="17"/>
      <c r="I64" s="24"/>
    </row>
    <row r="65" spans="1:9" s="25" customFormat="1" ht="16.899999999999999" customHeight="1" x14ac:dyDescent="0.2">
      <c r="A65" s="23"/>
      <c r="B65" s="102" t="s">
        <v>375</v>
      </c>
      <c r="C65" s="32" t="s">
        <v>397</v>
      </c>
      <c r="D65" s="46">
        <f>F65/(1-'Cálc. Reaj. 2018 - Mensal. 2017'!$M$4)</f>
        <v>294.42</v>
      </c>
      <c r="E65" s="46">
        <f t="shared" si="0"/>
        <v>4.4162999999999784</v>
      </c>
      <c r="F65" s="35">
        <f>[29]Orçamento!$I$70</f>
        <v>290.00370000000004</v>
      </c>
      <c r="G65" s="36">
        <f>'[29]Dados do Curso'!$H$13</f>
        <v>18</v>
      </c>
      <c r="H65" s="17"/>
      <c r="I65" s="24"/>
    </row>
    <row r="66" spans="1:9" s="25" customFormat="1" ht="16.899999999999999" customHeight="1" x14ac:dyDescent="0.2">
      <c r="A66" s="23"/>
      <c r="B66" s="115"/>
      <c r="C66" s="115"/>
      <c r="D66" s="115"/>
      <c r="E66" s="115"/>
      <c r="F66" s="115"/>
      <c r="G66" s="115"/>
      <c r="H66" s="17"/>
      <c r="I66" s="24"/>
    </row>
    <row r="67" spans="1:9" s="25" customFormat="1" ht="16.899999999999999" customHeight="1" x14ac:dyDescent="0.2">
      <c r="A67" s="23"/>
      <c r="B67" s="116" t="s">
        <v>26</v>
      </c>
      <c r="C67" s="116"/>
      <c r="D67" s="116"/>
      <c r="E67" s="116"/>
      <c r="F67" s="116"/>
      <c r="G67" s="116"/>
      <c r="H67" s="17"/>
      <c r="I67" s="24"/>
    </row>
    <row r="68" spans="1:9" s="25" customFormat="1" ht="16.899999999999999" customHeight="1" x14ac:dyDescent="0.2">
      <c r="A68" s="23"/>
      <c r="B68" s="116" t="s">
        <v>39</v>
      </c>
      <c r="C68" s="116"/>
      <c r="D68" s="116"/>
      <c r="E68" s="116"/>
      <c r="F68" s="116"/>
      <c r="G68" s="116"/>
      <c r="H68" s="116"/>
      <c r="I68" s="24"/>
    </row>
    <row r="69" spans="1:9" s="25" customFormat="1" ht="35.25" customHeight="1" x14ac:dyDescent="0.2">
      <c r="A69" s="23"/>
      <c r="B69" s="19"/>
      <c r="C69" s="20"/>
      <c r="D69" s="20"/>
      <c r="E69" s="20"/>
      <c r="F69" s="21"/>
      <c r="G69" s="20"/>
      <c r="H69" s="20"/>
      <c r="I69" s="24"/>
    </row>
    <row r="70" spans="1:9" s="25" customFormat="1" ht="16.899999999999999" customHeight="1" x14ac:dyDescent="0.2">
      <c r="A70" s="23"/>
      <c r="B70" s="117" t="s">
        <v>339</v>
      </c>
      <c r="C70" s="117"/>
      <c r="D70" s="117"/>
      <c r="E70" s="117"/>
      <c r="F70" s="117"/>
      <c r="G70" s="6"/>
      <c r="H70" s="6"/>
      <c r="I70" s="24"/>
    </row>
    <row r="71" spans="1:9" s="25" customFormat="1" ht="35.25" customHeight="1" x14ac:dyDescent="0.2">
      <c r="A71" s="23"/>
      <c r="B71" s="58"/>
      <c r="C71" s="8"/>
      <c r="D71" s="9"/>
      <c r="E71" s="9"/>
      <c r="F71" s="9"/>
      <c r="G71" s="10"/>
      <c r="H71" s="6"/>
      <c r="I71" s="24"/>
    </row>
    <row r="72" spans="1:9" s="25" customFormat="1" ht="16.899999999999999" customHeight="1" x14ac:dyDescent="0.2">
      <c r="A72" s="23"/>
      <c r="B72" s="112" t="s">
        <v>340</v>
      </c>
      <c r="C72" s="112"/>
      <c r="D72" s="112"/>
      <c r="E72" s="112"/>
      <c r="F72" s="112"/>
      <c r="G72" s="112"/>
      <c r="H72" s="22"/>
      <c r="I72" s="24"/>
    </row>
    <row r="73" spans="1:9" s="25" customFormat="1" ht="16.899999999999999" customHeight="1" x14ac:dyDescent="0.2">
      <c r="A73" s="23"/>
      <c r="B73" s="112" t="s">
        <v>341</v>
      </c>
      <c r="C73" s="112"/>
      <c r="D73" s="112"/>
      <c r="E73" s="112"/>
      <c r="F73" s="112"/>
      <c r="G73" s="112"/>
      <c r="H73" s="22"/>
      <c r="I73" s="24"/>
    </row>
    <row r="74" spans="1:9" s="25" customFormat="1" ht="16.899999999999999" customHeight="1" x14ac:dyDescent="0.2">
      <c r="A74" s="23"/>
      <c r="B74" s="26"/>
      <c r="C74" s="27"/>
      <c r="D74" s="28"/>
      <c r="E74" s="28"/>
      <c r="F74" s="28"/>
      <c r="G74" s="29"/>
      <c r="H74" s="23"/>
      <c r="I74" s="24"/>
    </row>
    <row r="75" spans="1:9" s="25" customFormat="1" ht="16.899999999999999" customHeight="1" x14ac:dyDescent="0.2">
      <c r="A75" s="23"/>
      <c r="B75" s="26"/>
      <c r="C75" s="27"/>
      <c r="D75" s="28"/>
      <c r="E75" s="28"/>
      <c r="F75" s="28"/>
      <c r="G75" s="29"/>
      <c r="H75" s="23"/>
      <c r="I75" s="24"/>
    </row>
    <row r="76" spans="1:9" s="25" customFormat="1" ht="16.899999999999999" customHeight="1" x14ac:dyDescent="0.2">
      <c r="A76" s="23"/>
      <c r="B76" s="26"/>
      <c r="C76" s="27"/>
      <c r="D76" s="28"/>
      <c r="E76" s="28"/>
      <c r="F76" s="28"/>
      <c r="G76" s="29"/>
      <c r="H76" s="23"/>
      <c r="I76" s="24"/>
    </row>
    <row r="77" spans="1:9" s="25" customFormat="1" ht="16.899999999999999" customHeight="1" x14ac:dyDescent="0.2">
      <c r="A77" s="23"/>
      <c r="B77" s="26"/>
      <c r="C77" s="27"/>
      <c r="D77" s="28"/>
      <c r="E77" s="28"/>
      <c r="F77" s="28"/>
      <c r="G77" s="29"/>
      <c r="H77" s="23"/>
      <c r="I77" s="24"/>
    </row>
    <row r="78" spans="1:9" s="25" customFormat="1" ht="16.899999999999999" customHeight="1" x14ac:dyDescent="0.2">
      <c r="A78" s="23"/>
      <c r="B78" s="26"/>
      <c r="C78" s="27"/>
      <c r="D78" s="28"/>
      <c r="E78" s="28"/>
      <c r="F78" s="28"/>
      <c r="G78" s="29"/>
      <c r="H78" s="23"/>
      <c r="I78" s="24"/>
    </row>
    <row r="79" spans="1:9" s="25" customFormat="1" ht="16.899999999999999" customHeight="1" x14ac:dyDescent="0.2">
      <c r="A79" s="23"/>
      <c r="B79" s="26"/>
      <c r="C79" s="27"/>
      <c r="D79" s="28"/>
      <c r="E79" s="28"/>
      <c r="F79" s="28"/>
      <c r="G79" s="29"/>
      <c r="H79" s="23"/>
      <c r="I79" s="24"/>
    </row>
    <row r="80" spans="1:9" s="25" customFormat="1" ht="16.899999999999999" customHeight="1" x14ac:dyDescent="0.2">
      <c r="A80" s="23"/>
      <c r="B80" s="26"/>
      <c r="C80" s="27"/>
      <c r="D80" s="28"/>
      <c r="E80" s="28"/>
      <c r="F80" s="28"/>
      <c r="G80" s="29"/>
      <c r="H80" s="23"/>
      <c r="I80" s="24"/>
    </row>
    <row r="81" spans="1:9" s="25" customFormat="1" ht="16.899999999999999" customHeight="1" x14ac:dyDescent="0.2">
      <c r="A81" s="23"/>
      <c r="B81" s="26"/>
      <c r="C81" s="27"/>
      <c r="D81" s="28"/>
      <c r="E81" s="28"/>
      <c r="F81" s="28"/>
      <c r="G81" s="29"/>
      <c r="H81" s="23"/>
      <c r="I81" s="24"/>
    </row>
    <row r="82" spans="1:9" s="25" customFormat="1" ht="16.899999999999999" customHeight="1" x14ac:dyDescent="0.2">
      <c r="A82" s="23"/>
      <c r="B82" s="26"/>
      <c r="C82" s="27"/>
      <c r="D82" s="28"/>
      <c r="E82" s="28"/>
      <c r="F82" s="28"/>
      <c r="G82" s="29"/>
      <c r="H82" s="23"/>
      <c r="I82" s="24"/>
    </row>
    <row r="83" spans="1:9" s="25" customFormat="1" ht="16.899999999999999" customHeight="1" x14ac:dyDescent="0.2">
      <c r="A83" s="23"/>
      <c r="B83" s="26"/>
      <c r="C83" s="27"/>
      <c r="D83" s="28"/>
      <c r="E83" s="28"/>
      <c r="F83" s="28"/>
      <c r="G83" s="29"/>
      <c r="H83" s="23"/>
      <c r="I83" s="24"/>
    </row>
    <row r="84" spans="1:9" s="25" customFormat="1" ht="16.899999999999999" customHeight="1" x14ac:dyDescent="0.2">
      <c r="A84" s="23"/>
      <c r="B84" s="26"/>
      <c r="C84" s="27"/>
      <c r="D84" s="28"/>
      <c r="E84" s="28"/>
      <c r="F84" s="28"/>
      <c r="G84" s="29"/>
      <c r="H84" s="23"/>
      <c r="I84" s="24"/>
    </row>
    <row r="85" spans="1:9" s="25" customFormat="1" ht="16.899999999999999" customHeight="1" x14ac:dyDescent="0.2">
      <c r="A85" s="23"/>
      <c r="B85" s="26"/>
      <c r="C85" s="27"/>
      <c r="D85" s="28"/>
      <c r="E85" s="28"/>
      <c r="F85" s="28"/>
      <c r="G85" s="29"/>
      <c r="H85" s="23"/>
      <c r="I85" s="24"/>
    </row>
    <row r="86" spans="1:9" s="25" customFormat="1" ht="16.899999999999999" customHeight="1" x14ac:dyDescent="0.2">
      <c r="A86" s="23"/>
      <c r="B86" s="26"/>
      <c r="C86" s="27"/>
      <c r="D86" s="28"/>
      <c r="E86" s="28"/>
      <c r="F86" s="28"/>
      <c r="G86" s="29"/>
      <c r="H86" s="23"/>
      <c r="I86" s="24"/>
    </row>
    <row r="87" spans="1:9" s="25" customFormat="1" ht="16.899999999999999" customHeight="1" x14ac:dyDescent="0.2">
      <c r="A87" s="23"/>
      <c r="B87" s="26"/>
      <c r="C87" s="27"/>
      <c r="D87" s="28"/>
      <c r="E87" s="28"/>
      <c r="F87" s="28"/>
      <c r="G87" s="29"/>
      <c r="H87" s="23"/>
      <c r="I87" s="24"/>
    </row>
    <row r="88" spans="1:9" s="25" customFormat="1" ht="16.899999999999999" customHeight="1" x14ac:dyDescent="0.2">
      <c r="A88" s="23"/>
      <c r="B88" s="26"/>
      <c r="C88" s="27"/>
      <c r="D88" s="28"/>
      <c r="E88" s="28"/>
      <c r="F88" s="28"/>
      <c r="G88" s="29"/>
      <c r="H88" s="23"/>
      <c r="I88" s="24"/>
    </row>
    <row r="89" spans="1:9" s="25" customFormat="1" ht="16.899999999999999" customHeight="1" x14ac:dyDescent="0.2">
      <c r="A89" s="23"/>
      <c r="B89" s="26"/>
      <c r="C89" s="27"/>
      <c r="D89" s="28"/>
      <c r="E89" s="28"/>
      <c r="F89" s="28"/>
      <c r="G89" s="29"/>
      <c r="H89" s="23"/>
      <c r="I89" s="24"/>
    </row>
    <row r="90" spans="1:9" s="25" customFormat="1" ht="16.899999999999999" customHeight="1" x14ac:dyDescent="0.2">
      <c r="A90" s="23"/>
      <c r="B90" s="26"/>
      <c r="C90" s="27"/>
      <c r="D90" s="28"/>
      <c r="E90" s="28"/>
      <c r="F90" s="28"/>
      <c r="G90" s="29"/>
      <c r="H90" s="23"/>
      <c r="I90" s="24"/>
    </row>
    <row r="91" spans="1:9" s="25" customFormat="1" ht="16.899999999999999" customHeight="1" x14ac:dyDescent="0.2">
      <c r="A91" s="23"/>
      <c r="B91" s="26"/>
      <c r="C91" s="27"/>
      <c r="D91" s="28"/>
      <c r="E91" s="28"/>
      <c r="F91" s="28"/>
      <c r="G91" s="29"/>
      <c r="H91" s="23"/>
      <c r="I91" s="24"/>
    </row>
    <row r="92" spans="1:9" s="25" customFormat="1" ht="16.899999999999999" customHeight="1" x14ac:dyDescent="0.2">
      <c r="A92" s="23"/>
      <c r="B92" s="26"/>
      <c r="C92" s="27"/>
      <c r="D92" s="28"/>
      <c r="E92" s="28"/>
      <c r="F92" s="28"/>
      <c r="G92" s="29"/>
      <c r="H92" s="23"/>
      <c r="I92" s="24"/>
    </row>
    <row r="93" spans="1:9" s="25" customFormat="1" ht="16.899999999999999" customHeight="1" x14ac:dyDescent="0.2">
      <c r="A93" s="23"/>
      <c r="B93" s="26"/>
      <c r="C93" s="27"/>
      <c r="D93" s="28"/>
      <c r="E93" s="28"/>
      <c r="F93" s="28"/>
      <c r="G93" s="29"/>
      <c r="H93" s="23"/>
      <c r="I93" s="24"/>
    </row>
    <row r="94" spans="1:9" s="25" customFormat="1" ht="16.899999999999999" customHeight="1" x14ac:dyDescent="0.2">
      <c r="A94" s="23"/>
      <c r="B94" s="26"/>
      <c r="C94" s="27"/>
      <c r="D94" s="28"/>
      <c r="E94" s="28"/>
      <c r="F94" s="28"/>
      <c r="G94" s="29"/>
      <c r="H94" s="23"/>
      <c r="I94" s="24"/>
    </row>
    <row r="95" spans="1:9" s="25" customFormat="1" ht="16.899999999999999" customHeight="1" x14ac:dyDescent="0.2">
      <c r="A95" s="23"/>
      <c r="B95" s="26"/>
      <c r="C95" s="27"/>
      <c r="D95" s="28"/>
      <c r="E95" s="28"/>
      <c r="F95" s="28"/>
      <c r="G95" s="29"/>
      <c r="H95" s="23"/>
      <c r="I95" s="24"/>
    </row>
    <row r="96" spans="1:9" s="25" customFormat="1" ht="16.899999999999999" customHeight="1" x14ac:dyDescent="0.2">
      <c r="A96" s="23"/>
      <c r="B96" s="26"/>
      <c r="C96" s="27"/>
      <c r="D96" s="28"/>
      <c r="E96" s="28"/>
      <c r="F96" s="28"/>
      <c r="G96" s="29"/>
      <c r="H96" s="23"/>
      <c r="I96" s="24"/>
    </row>
    <row r="97" spans="1:9" s="25" customFormat="1" ht="16.899999999999999" customHeight="1" x14ac:dyDescent="0.2">
      <c r="A97" s="23"/>
      <c r="B97" s="26"/>
      <c r="C97" s="27"/>
      <c r="D97" s="28"/>
      <c r="E97" s="28"/>
      <c r="F97" s="28"/>
      <c r="G97" s="29"/>
      <c r="H97" s="23"/>
      <c r="I97" s="24"/>
    </row>
    <row r="98" spans="1:9" s="25" customFormat="1" ht="16.899999999999999" customHeight="1" x14ac:dyDescent="0.2">
      <c r="A98" s="23"/>
      <c r="B98" s="26"/>
      <c r="C98" s="27"/>
      <c r="D98" s="28"/>
      <c r="E98" s="28"/>
      <c r="F98" s="28"/>
      <c r="G98" s="29"/>
      <c r="H98" s="23"/>
      <c r="I98" s="24"/>
    </row>
    <row r="99" spans="1:9" s="25" customFormat="1" ht="16.899999999999999" customHeight="1" x14ac:dyDescent="0.2">
      <c r="A99" s="23"/>
      <c r="B99" s="26"/>
      <c r="C99" s="27"/>
      <c r="D99" s="28"/>
      <c r="E99" s="28"/>
      <c r="F99" s="28"/>
      <c r="G99" s="29"/>
      <c r="H99" s="23"/>
      <c r="I99" s="24"/>
    </row>
    <row r="100" spans="1:9" s="25" customFormat="1" ht="16.899999999999999" customHeight="1" x14ac:dyDescent="0.2">
      <c r="A100" s="23"/>
      <c r="B100" s="26"/>
      <c r="C100" s="27"/>
      <c r="D100" s="28"/>
      <c r="E100" s="28"/>
      <c r="F100" s="28"/>
      <c r="G100" s="29"/>
      <c r="H100" s="23"/>
      <c r="I100" s="24"/>
    </row>
    <row r="101" spans="1:9" s="25" customFormat="1" ht="16.899999999999999" customHeight="1" x14ac:dyDescent="0.2">
      <c r="A101" s="23"/>
      <c r="B101" s="26"/>
      <c r="C101" s="27"/>
      <c r="D101" s="28"/>
      <c r="E101" s="28"/>
      <c r="F101" s="28"/>
      <c r="G101" s="29"/>
      <c r="H101" s="23"/>
      <c r="I101" s="24"/>
    </row>
    <row r="102" spans="1:9" s="25" customFormat="1" ht="16.899999999999999" customHeight="1" x14ac:dyDescent="0.2">
      <c r="A102" s="23"/>
      <c r="B102" s="26"/>
      <c r="C102" s="27"/>
      <c r="D102" s="28"/>
      <c r="E102" s="28"/>
      <c r="F102" s="28"/>
      <c r="G102" s="29"/>
      <c r="H102" s="23"/>
      <c r="I102" s="24"/>
    </row>
    <row r="103" spans="1:9" s="25" customFormat="1" ht="16.899999999999999" customHeight="1" x14ac:dyDescent="0.2">
      <c r="A103" s="23"/>
      <c r="B103" s="26"/>
      <c r="C103" s="27"/>
      <c r="D103" s="28"/>
      <c r="E103" s="28"/>
      <c r="F103" s="28"/>
      <c r="G103" s="29"/>
      <c r="H103" s="23"/>
      <c r="I103" s="24"/>
    </row>
    <row r="104" spans="1:9" s="25" customFormat="1" ht="16.899999999999999" customHeight="1" x14ac:dyDescent="0.2">
      <c r="A104" s="23"/>
      <c r="B104" s="26"/>
      <c r="C104" s="27"/>
      <c r="D104" s="28"/>
      <c r="E104" s="28"/>
      <c r="F104" s="28"/>
      <c r="G104" s="29"/>
      <c r="H104" s="23"/>
      <c r="I104" s="24"/>
    </row>
    <row r="105" spans="1:9" s="25" customFormat="1" ht="16.899999999999999" customHeight="1" x14ac:dyDescent="0.2">
      <c r="A105" s="23"/>
      <c r="B105" s="26"/>
      <c r="C105" s="27"/>
      <c r="D105" s="28"/>
      <c r="E105" s="28"/>
      <c r="F105" s="28"/>
      <c r="G105" s="29"/>
      <c r="H105" s="23"/>
      <c r="I105" s="24"/>
    </row>
    <row r="106" spans="1:9" s="25" customFormat="1" ht="16.899999999999999" customHeight="1" x14ac:dyDescent="0.2">
      <c r="A106" s="23"/>
      <c r="B106" s="26"/>
      <c r="C106" s="27"/>
      <c r="D106" s="28"/>
      <c r="E106" s="28"/>
      <c r="F106" s="28"/>
      <c r="G106" s="29"/>
      <c r="H106" s="23"/>
      <c r="I106" s="24"/>
    </row>
    <row r="107" spans="1:9" s="25" customFormat="1" ht="16.899999999999999" customHeight="1" x14ac:dyDescent="0.2">
      <c r="A107" s="23"/>
      <c r="B107" s="26"/>
      <c r="C107" s="27"/>
      <c r="D107" s="28"/>
      <c r="E107" s="28"/>
      <c r="F107" s="28"/>
      <c r="G107" s="29"/>
      <c r="H107" s="23"/>
      <c r="I107" s="24"/>
    </row>
    <row r="108" spans="1:9" s="25" customFormat="1" ht="16.899999999999999" customHeight="1" x14ac:dyDescent="0.2">
      <c r="A108" s="23"/>
      <c r="B108" s="26"/>
      <c r="C108" s="27"/>
      <c r="D108" s="28"/>
      <c r="E108" s="28"/>
      <c r="F108" s="28"/>
      <c r="G108" s="29"/>
      <c r="H108" s="23"/>
      <c r="I108" s="24"/>
    </row>
    <row r="109" spans="1:9" s="25" customFormat="1" ht="16.899999999999999" customHeight="1" x14ac:dyDescent="0.2">
      <c r="A109" s="23"/>
      <c r="B109" s="26"/>
      <c r="C109" s="27"/>
      <c r="D109" s="28"/>
      <c r="E109" s="28"/>
      <c r="F109" s="28"/>
      <c r="G109" s="29"/>
      <c r="H109" s="23"/>
      <c r="I109" s="24"/>
    </row>
    <row r="110" spans="1:9" s="25" customFormat="1" ht="16.899999999999999" customHeight="1" x14ac:dyDescent="0.2">
      <c r="A110" s="23"/>
      <c r="B110" s="26"/>
      <c r="C110" s="27"/>
      <c r="D110" s="28"/>
      <c r="E110" s="28"/>
      <c r="F110" s="28"/>
      <c r="G110" s="29"/>
      <c r="H110" s="23"/>
      <c r="I110" s="24"/>
    </row>
    <row r="111" spans="1:9" s="25" customFormat="1" ht="16.899999999999999" customHeight="1" x14ac:dyDescent="0.2">
      <c r="A111" s="23"/>
      <c r="B111" s="26"/>
      <c r="C111" s="27"/>
      <c r="D111" s="28"/>
      <c r="E111" s="28"/>
      <c r="F111" s="28"/>
      <c r="G111" s="29"/>
      <c r="H111" s="23"/>
      <c r="I111" s="24"/>
    </row>
    <row r="112" spans="1:9" s="25" customFormat="1" ht="16.899999999999999" customHeight="1" x14ac:dyDescent="0.2">
      <c r="A112" s="23"/>
      <c r="B112" s="26"/>
      <c r="C112" s="27"/>
      <c r="D112" s="28"/>
      <c r="E112" s="28"/>
      <c r="F112" s="28"/>
      <c r="G112" s="29"/>
      <c r="H112" s="23"/>
      <c r="I112" s="24"/>
    </row>
    <row r="113" spans="1:9" s="25" customFormat="1" ht="16.899999999999999" customHeight="1" x14ac:dyDescent="0.2">
      <c r="A113" s="23"/>
      <c r="B113" s="26"/>
      <c r="C113" s="27"/>
      <c r="D113" s="28"/>
      <c r="E113" s="28"/>
      <c r="F113" s="28"/>
      <c r="G113" s="29"/>
      <c r="H113" s="23"/>
      <c r="I113" s="24"/>
    </row>
  </sheetData>
  <mergeCells count="9">
    <mergeCell ref="B70:F70"/>
    <mergeCell ref="B72:G72"/>
    <mergeCell ref="B73:G73"/>
    <mergeCell ref="B2:G2"/>
    <mergeCell ref="B3:G3"/>
    <mergeCell ref="B4:G4"/>
    <mergeCell ref="B66:G66"/>
    <mergeCell ref="B67:G67"/>
    <mergeCell ref="B68:H68"/>
  </mergeCells>
  <printOptions horizontalCentered="1"/>
  <pageMargins left="0.39370078740157483" right="0.39370078740157483" top="1.3779527559055118" bottom="0.39370078740157483" header="0.39370078740157483" footer="0"/>
  <pageSetup paperSize="9" scale="76" orientation="portrait" horizontalDpi="1200" verticalDpi="1200" r:id="rId1"/>
  <headerFooter alignWithMargins="0">
    <oddHeader>&amp;R&amp;"Arial,Negrito"&amp;18Anexo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FF00"/>
    <pageSetUpPr fitToPage="1"/>
  </sheetPr>
  <dimension ref="A1:AF113"/>
  <sheetViews>
    <sheetView showGridLines="0" tabSelected="1" zoomScaleNormal="100" workbookViewId="0">
      <pane ySplit="6" topLeftCell="A46" activePane="bottomLeft" state="frozen"/>
      <selection activeCell="C48" sqref="C48"/>
      <selection pane="bottomLeft" activeCell="C57" sqref="C57"/>
    </sheetView>
  </sheetViews>
  <sheetFormatPr defaultColWidth="9.140625" defaultRowHeight="12.75" x14ac:dyDescent="0.2"/>
  <cols>
    <col min="1" max="1" width="2.140625" style="16" customWidth="1"/>
    <col min="2" max="2" width="7.28515625" style="16" customWidth="1"/>
    <col min="3" max="3" width="65" style="16" customWidth="1"/>
    <col min="4" max="7" width="11.5703125" style="16" customWidth="1"/>
    <col min="8" max="8" width="1" style="16" customWidth="1"/>
    <col min="9" max="9" width="13.28515625" bestFit="1" customWidth="1"/>
    <col min="10" max="10" width="13.28515625" style="16" bestFit="1" customWidth="1"/>
    <col min="11" max="16384" width="9.140625" style="16"/>
  </cols>
  <sheetData>
    <row r="1" spans="1:32" x14ac:dyDescent="0.2">
      <c r="A1" s="1"/>
      <c r="B1" s="2"/>
      <c r="C1" s="3"/>
      <c r="D1" s="4"/>
      <c r="E1" s="4"/>
      <c r="F1" s="4"/>
      <c r="G1" s="4"/>
      <c r="H1" s="1"/>
    </row>
    <row r="2" spans="1:32" ht="15.75" customHeight="1" x14ac:dyDescent="0.2">
      <c r="A2" s="5"/>
      <c r="B2" s="111" t="s">
        <v>28</v>
      </c>
      <c r="C2" s="112"/>
      <c r="D2" s="112"/>
      <c r="E2" s="112"/>
      <c r="F2" s="112"/>
      <c r="G2" s="112"/>
      <c r="H2" s="5"/>
    </row>
    <row r="3" spans="1:32" ht="19.899999999999999" customHeight="1" x14ac:dyDescent="0.2">
      <c r="A3" s="6"/>
      <c r="B3" s="113" t="s">
        <v>36</v>
      </c>
      <c r="C3" s="113"/>
      <c r="D3" s="113"/>
      <c r="E3" s="113"/>
      <c r="F3" s="113"/>
      <c r="G3" s="113"/>
      <c r="H3" s="6"/>
    </row>
    <row r="4" spans="1:32" ht="16.899999999999999" customHeight="1" x14ac:dyDescent="0.2">
      <c r="A4" s="11"/>
      <c r="B4" s="114" t="s">
        <v>338</v>
      </c>
      <c r="C4" s="114"/>
      <c r="D4" s="114"/>
      <c r="E4" s="114"/>
      <c r="F4" s="114"/>
      <c r="G4" s="114"/>
      <c r="H4" s="11"/>
    </row>
    <row r="5" spans="1:32" ht="7.9" customHeight="1" x14ac:dyDescent="0.2">
      <c r="A5" s="6"/>
      <c r="B5" s="7"/>
      <c r="C5" s="8"/>
      <c r="D5" s="9"/>
      <c r="E5" s="9"/>
      <c r="F5" s="9"/>
      <c r="G5" s="10"/>
      <c r="H5" s="6"/>
    </row>
    <row r="6" spans="1:32" ht="27.75" customHeight="1" x14ac:dyDescent="0.2">
      <c r="A6" s="12"/>
      <c r="B6" s="37" t="s">
        <v>1</v>
      </c>
      <c r="C6" s="38" t="s">
        <v>2</v>
      </c>
      <c r="D6" s="39" t="s">
        <v>3</v>
      </c>
      <c r="E6" s="39" t="s">
        <v>6</v>
      </c>
      <c r="F6" s="39" t="s">
        <v>4</v>
      </c>
      <c r="G6" s="39" t="s">
        <v>5</v>
      </c>
      <c r="H6" s="12"/>
    </row>
    <row r="7" spans="1:32" customFormat="1" ht="5.25" customHeight="1" x14ac:dyDescent="0.2">
      <c r="A7" s="13"/>
      <c r="B7" s="14"/>
      <c r="C7" s="15"/>
      <c r="D7" s="33"/>
      <c r="E7" s="33"/>
      <c r="F7" s="33"/>
      <c r="G7" s="33"/>
      <c r="H7" s="13"/>
    </row>
    <row r="8" spans="1:32" s="25" customFormat="1" ht="13.7" customHeight="1" x14ac:dyDescent="0.2">
      <c r="A8" s="23"/>
      <c r="B8" s="34">
        <v>20818</v>
      </c>
      <c r="C8" s="32" t="s">
        <v>14</v>
      </c>
      <c r="D8" s="46">
        <f>F8/(1-'Cálc. Reaj. 2018 - Mensal. 2017'!$M$4)</f>
        <v>294.41624365482232</v>
      </c>
      <c r="E8" s="46">
        <f>D8*'Cálc. Reaj. 2018 - Mensal. 2017'!$M$4</f>
        <v>4.4162436548223347</v>
      </c>
      <c r="F8" s="35">
        <f>'Premissas Aprovadas'!$B$4</f>
        <v>290</v>
      </c>
      <c r="G8" s="36">
        <f>'Cálc. Reaj. 2018 - Mensal. 2017'!L10</f>
        <v>18</v>
      </c>
      <c r="H8" s="23"/>
      <c r="I8" s="63"/>
      <c r="J8" s="57"/>
      <c r="L8" s="44"/>
      <c r="M8" s="44"/>
      <c r="N8" s="44"/>
      <c r="O8" s="44"/>
    </row>
    <row r="9" spans="1:32" s="31" customFormat="1" ht="13.7" customHeight="1" x14ac:dyDescent="0.2">
      <c r="A9" s="30"/>
      <c r="B9" s="34">
        <v>20821</v>
      </c>
      <c r="C9" s="32" t="s">
        <v>45</v>
      </c>
      <c r="D9" s="46">
        <f>F9/(1-'Cálc. Reaj. 2018 - Mensal. 2017'!$M$4)</f>
        <v>294.41624365482232</v>
      </c>
      <c r="E9" s="46">
        <f>D9*'Cálc. Reaj. 2018 - Mensal. 2017'!$M$4</f>
        <v>4.4162436548223347</v>
      </c>
      <c r="F9" s="35">
        <f>'Premissas Aprovadas'!$B$4</f>
        <v>290</v>
      </c>
      <c r="G9" s="36">
        <f>'Cálc. Reaj. 2018 - Mensal. 2017'!L11</f>
        <v>18</v>
      </c>
      <c r="H9" s="30"/>
      <c r="I9" s="63"/>
      <c r="J9" s="57"/>
      <c r="K9" s="25"/>
      <c r="L9" s="44"/>
      <c r="M9" s="44"/>
      <c r="N9" s="44"/>
      <c r="O9" s="44"/>
      <c r="AF9" s="25"/>
    </row>
    <row r="10" spans="1:32" s="25" customFormat="1" ht="13.7" customHeight="1" x14ac:dyDescent="0.2">
      <c r="A10" s="23"/>
      <c r="B10" s="34">
        <v>20575</v>
      </c>
      <c r="C10" s="32" t="s">
        <v>30</v>
      </c>
      <c r="D10" s="46">
        <f>F10/(1-'Cálc. Reaj. 2018 - Mensal. 2017'!$M$4)</f>
        <v>294.41624365482232</v>
      </c>
      <c r="E10" s="46">
        <f>D10*'Cálc. Reaj. 2018 - Mensal. 2017'!$M$4</f>
        <v>4.4162436548223347</v>
      </c>
      <c r="F10" s="35">
        <f>'Premissas Aprovadas'!$B$4</f>
        <v>290</v>
      </c>
      <c r="G10" s="36">
        <f>'Cálc. Reaj. 2018 - Mensal. 2017'!L12</f>
        <v>18</v>
      </c>
      <c r="H10" s="23"/>
      <c r="I10" s="63"/>
      <c r="J10" s="57"/>
      <c r="L10" s="44"/>
      <c r="M10" s="44"/>
      <c r="N10" s="44"/>
      <c r="O10" s="44"/>
    </row>
    <row r="11" spans="1:32" s="25" customFormat="1" ht="13.7" customHeight="1" x14ac:dyDescent="0.2">
      <c r="A11" s="23"/>
      <c r="B11" s="34">
        <v>20019</v>
      </c>
      <c r="C11" s="32" t="s">
        <v>12</v>
      </c>
      <c r="D11" s="46">
        <f>F11/(1-'Cálc. Reaj. 2018 - Mensal. 2017'!$M$4)</f>
        <v>294.41624365482232</v>
      </c>
      <c r="E11" s="46">
        <f>D11*'Cálc. Reaj. 2018 - Mensal. 2017'!$M$4</f>
        <v>4.4162436548223347</v>
      </c>
      <c r="F11" s="35">
        <f>'Premissas Aprovadas'!$B$4</f>
        <v>290</v>
      </c>
      <c r="G11" s="36">
        <f>'Cálc. Reaj. 2018 - Mensal. 2017'!L13</f>
        <v>18</v>
      </c>
      <c r="H11" s="23"/>
      <c r="I11" s="63"/>
      <c r="J11" s="57"/>
      <c r="L11" s="44"/>
      <c r="M11" s="44"/>
      <c r="N11" s="44"/>
      <c r="O11" s="44"/>
    </row>
    <row r="12" spans="1:32" s="25" customFormat="1" ht="13.7" customHeight="1" x14ac:dyDescent="0.2">
      <c r="A12" s="23"/>
      <c r="B12" s="54">
        <v>20822</v>
      </c>
      <c r="C12" s="32" t="s">
        <v>21</v>
      </c>
      <c r="D12" s="46">
        <f>F12/(1-'Cálc. Reaj. 2018 - Mensal. 2017'!$M$4)</f>
        <v>294.41624365482232</v>
      </c>
      <c r="E12" s="46">
        <f>D12*'Cálc. Reaj. 2018 - Mensal. 2017'!$M$4</f>
        <v>4.4162436548223347</v>
      </c>
      <c r="F12" s="35">
        <f>'Premissas Aprovadas'!$B$4</f>
        <v>290</v>
      </c>
      <c r="G12" s="36">
        <f>'Cálc. Reaj. 2018 - Mensal. 2017'!L14</f>
        <v>18</v>
      </c>
      <c r="H12" s="23"/>
      <c r="I12" s="63"/>
      <c r="J12" s="57"/>
      <c r="L12" s="44"/>
      <c r="M12" s="44"/>
      <c r="N12" s="44"/>
      <c r="O12" s="44"/>
    </row>
    <row r="13" spans="1:32" s="25" customFormat="1" ht="13.7" customHeight="1" x14ac:dyDescent="0.2">
      <c r="A13" s="23"/>
      <c r="B13" s="34">
        <v>20823</v>
      </c>
      <c r="C13" s="32" t="s">
        <v>27</v>
      </c>
      <c r="D13" s="46">
        <f>F13/(1-'Cálc. Reaj. 2018 - Mensal. 2017'!$M$4)</f>
        <v>294.41624365482232</v>
      </c>
      <c r="E13" s="46">
        <f>D13*'Cálc. Reaj. 2018 - Mensal. 2017'!$M$4</f>
        <v>4.4162436548223347</v>
      </c>
      <c r="F13" s="35">
        <f>'Premissas Aprovadas'!$B$4</f>
        <v>290</v>
      </c>
      <c r="G13" s="36">
        <f>'Cálc. Reaj. 2018 - Mensal. 2017'!L15</f>
        <v>18</v>
      </c>
      <c r="H13" s="23"/>
      <c r="I13" s="63"/>
      <c r="J13" s="57"/>
      <c r="L13" s="44"/>
      <c r="M13" s="44"/>
      <c r="N13" s="44"/>
      <c r="O13" s="44"/>
    </row>
    <row r="14" spans="1:32" s="25" customFormat="1" ht="13.7" customHeight="1" x14ac:dyDescent="0.2">
      <c r="A14" s="23"/>
      <c r="B14" s="54">
        <v>20824</v>
      </c>
      <c r="C14" s="32" t="s">
        <v>20</v>
      </c>
      <c r="D14" s="46">
        <f>F14/(1-'Cálc. Reaj. 2018 - Mensal. 2017'!$M$4)</f>
        <v>294.41624365482232</v>
      </c>
      <c r="E14" s="46">
        <f>D14*'Cálc. Reaj. 2018 - Mensal. 2017'!$M$4</f>
        <v>4.4162436548223347</v>
      </c>
      <c r="F14" s="35">
        <f>'Premissas Aprovadas'!$B$4</f>
        <v>290</v>
      </c>
      <c r="G14" s="36">
        <f>'Cálc. Reaj. 2018 - Mensal. 2017'!L16</f>
        <v>18</v>
      </c>
      <c r="H14" s="23"/>
      <c r="I14" s="63"/>
      <c r="J14" s="57"/>
      <c r="L14" s="62"/>
      <c r="M14" s="62"/>
      <c r="N14" s="44"/>
      <c r="O14" s="44"/>
    </row>
    <row r="15" spans="1:32" s="30" customFormat="1" ht="13.7" customHeight="1" x14ac:dyDescent="0.2">
      <c r="B15" s="54">
        <v>20831</v>
      </c>
      <c r="C15" s="32" t="s">
        <v>42</v>
      </c>
      <c r="D15" s="46">
        <f>F15/(1-'Cálc. Reaj. 2018 - Mensal. 2017'!$M$4)</f>
        <v>294.41624365482232</v>
      </c>
      <c r="E15" s="46">
        <f>D15*'Cálc. Reaj. 2018 - Mensal. 2017'!$M$4</f>
        <v>4.4162436548223347</v>
      </c>
      <c r="F15" s="35">
        <f>'Premissas Aprovadas'!$B$4</f>
        <v>290</v>
      </c>
      <c r="G15" s="36">
        <f>'Cálc. Reaj. 2018 - Mensal. 2017'!L17</f>
        <v>18</v>
      </c>
      <c r="I15" s="63"/>
      <c r="J15" s="57"/>
      <c r="K15" s="25"/>
      <c r="L15" s="44"/>
      <c r="M15" s="44"/>
      <c r="N15" s="44"/>
      <c r="O15" s="44"/>
      <c r="AF15" s="25"/>
    </row>
    <row r="16" spans="1:32" s="25" customFormat="1" ht="13.7" customHeight="1" x14ac:dyDescent="0.2">
      <c r="A16" s="23"/>
      <c r="B16" s="54">
        <v>20825</v>
      </c>
      <c r="C16" s="32" t="s">
        <v>46</v>
      </c>
      <c r="D16" s="46">
        <f>F16/(1-'Cálc. Reaj. 2018 - Mensal. 2017'!$M$4)</f>
        <v>294.41624365482232</v>
      </c>
      <c r="E16" s="46">
        <f>D16*'Cálc. Reaj. 2018 - Mensal. 2017'!$M$4</f>
        <v>4.4162436548223347</v>
      </c>
      <c r="F16" s="35">
        <f>'Premissas Aprovadas'!$B$4</f>
        <v>290</v>
      </c>
      <c r="G16" s="36">
        <f>'Cálc. Reaj. 2018 - Mensal. 2017'!L18</f>
        <v>18</v>
      </c>
      <c r="H16" s="23"/>
      <c r="I16" s="63"/>
      <c r="J16" s="57"/>
      <c r="L16" s="44"/>
      <c r="M16" s="44"/>
      <c r="N16" s="44"/>
      <c r="O16" s="44"/>
    </row>
    <row r="17" spans="1:32" s="25" customFormat="1" ht="13.7" customHeight="1" x14ac:dyDescent="0.2">
      <c r="A17" s="23"/>
      <c r="B17" s="34">
        <v>20018</v>
      </c>
      <c r="C17" s="32" t="s">
        <v>11</v>
      </c>
      <c r="D17" s="46">
        <f>F17/(1-'Cálc. Reaj. 2018 - Mensal. 2017'!$M$4)</f>
        <v>294.41624365482232</v>
      </c>
      <c r="E17" s="46">
        <f>D17*'Cálc. Reaj. 2018 - Mensal. 2017'!$M$4</f>
        <v>4.4162436548223347</v>
      </c>
      <c r="F17" s="35">
        <f>'Premissas Aprovadas'!$B$4</f>
        <v>290</v>
      </c>
      <c r="G17" s="36">
        <f>'Cálc. Reaj. 2018 - Mensal. 2017'!L19</f>
        <v>18</v>
      </c>
      <c r="H17" s="23"/>
      <c r="I17" s="63"/>
      <c r="J17" s="57"/>
      <c r="L17" s="44"/>
      <c r="M17" s="44"/>
      <c r="N17" s="44"/>
      <c r="O17" s="44"/>
    </row>
    <row r="18" spans="1:32" s="25" customFormat="1" ht="13.7" customHeight="1" x14ac:dyDescent="0.2">
      <c r="A18" s="23"/>
      <c r="B18" s="54">
        <v>20826</v>
      </c>
      <c r="C18" s="32" t="s">
        <v>22</v>
      </c>
      <c r="D18" s="46">
        <f>F18/(1-'Cálc. Reaj. 2018 - Mensal. 2017'!$M$4)</f>
        <v>294.41624365482232</v>
      </c>
      <c r="E18" s="46">
        <f>D18*'Cálc. Reaj. 2018 - Mensal. 2017'!$M$4</f>
        <v>4.4162436548223347</v>
      </c>
      <c r="F18" s="35">
        <f>'Premissas Aprovadas'!$B$4</f>
        <v>290</v>
      </c>
      <c r="G18" s="36">
        <f>'Cálc. Reaj. 2018 - Mensal. 2017'!L20</f>
        <v>18</v>
      </c>
      <c r="H18" s="23"/>
      <c r="I18" s="63"/>
      <c r="J18" s="57"/>
      <c r="L18" s="44"/>
      <c r="M18" s="44"/>
      <c r="N18" s="44"/>
      <c r="O18" s="44"/>
    </row>
    <row r="19" spans="1:32" s="25" customFormat="1" ht="13.7" customHeight="1" x14ac:dyDescent="0.2">
      <c r="A19" s="23"/>
      <c r="B19" s="54">
        <v>20827</v>
      </c>
      <c r="C19" s="32" t="s">
        <v>24</v>
      </c>
      <c r="D19" s="46">
        <f>F19/(1-'Cálc. Reaj. 2018 - Mensal. 2017'!$M$4)</f>
        <v>294.41624365482232</v>
      </c>
      <c r="E19" s="46">
        <f>D19*'Cálc. Reaj. 2018 - Mensal. 2017'!$M$4</f>
        <v>4.4162436548223347</v>
      </c>
      <c r="F19" s="35">
        <f>'Premissas Aprovadas'!$B$4</f>
        <v>290</v>
      </c>
      <c r="G19" s="36">
        <f>'Cálc. Reaj. 2018 - Mensal. 2017'!L21</f>
        <v>18</v>
      </c>
      <c r="H19" s="23"/>
      <c r="I19" s="63"/>
      <c r="J19" s="57"/>
      <c r="L19" s="44"/>
      <c r="M19" s="44"/>
      <c r="N19" s="44"/>
      <c r="O19" s="44"/>
    </row>
    <row r="20" spans="1:32" s="25" customFormat="1" ht="13.7" customHeight="1" x14ac:dyDescent="0.2">
      <c r="A20" s="45"/>
      <c r="B20" s="34">
        <v>20010</v>
      </c>
      <c r="C20" s="32" t="s">
        <v>8</v>
      </c>
      <c r="D20" s="46">
        <f>F20/(1-'Cálc. Reaj. 2018 - Mensal. 2017'!$M$4)</f>
        <v>294.41624365482232</v>
      </c>
      <c r="E20" s="46">
        <f>D20*'Cálc. Reaj. 2018 - Mensal. 2017'!$M$4</f>
        <v>4.4162436548223347</v>
      </c>
      <c r="F20" s="35">
        <f>'Premissas Aprovadas'!$B$4</f>
        <v>290</v>
      </c>
      <c r="G20" s="36">
        <f>'Cálc. Reaj. 2018 - Mensal. 2017'!L22</f>
        <v>18</v>
      </c>
      <c r="H20" s="45"/>
      <c r="I20" s="63"/>
      <c r="J20" s="57"/>
      <c r="L20" s="44"/>
      <c r="M20" s="44"/>
      <c r="N20" s="44"/>
      <c r="O20" s="44"/>
    </row>
    <row r="21" spans="1:32" s="25" customFormat="1" ht="13.7" customHeight="1" x14ac:dyDescent="0.2">
      <c r="A21" s="23"/>
      <c r="B21" s="54">
        <v>20828</v>
      </c>
      <c r="C21" s="32" t="s">
        <v>25</v>
      </c>
      <c r="D21" s="46">
        <f>F21/(1-'Cálc. Reaj. 2018 - Mensal. 2017'!$M$4)</f>
        <v>294.41624365482232</v>
      </c>
      <c r="E21" s="46">
        <f>D21*'Cálc. Reaj. 2018 - Mensal. 2017'!$M$4</f>
        <v>4.4162436548223347</v>
      </c>
      <c r="F21" s="35">
        <f>'Premissas Aprovadas'!$B$4</f>
        <v>290</v>
      </c>
      <c r="G21" s="36">
        <f>'Cálc. Reaj. 2018 - Mensal. 2017'!L23</f>
        <v>18</v>
      </c>
      <c r="H21" s="23"/>
      <c r="I21" s="63"/>
      <c r="J21" s="57"/>
      <c r="L21" s="44"/>
      <c r="M21" s="44"/>
      <c r="N21" s="44"/>
      <c r="O21" s="44"/>
    </row>
    <row r="22" spans="1:32" s="25" customFormat="1" ht="13.7" customHeight="1" x14ac:dyDescent="0.2">
      <c r="A22" s="23"/>
      <c r="B22" s="34">
        <v>20015</v>
      </c>
      <c r="C22" s="32" t="s">
        <v>47</v>
      </c>
      <c r="D22" s="46">
        <f>F22/(1-'Cálc. Reaj. 2018 - Mensal. 2017'!$M$4)</f>
        <v>294.41624365482232</v>
      </c>
      <c r="E22" s="46">
        <f>D22*'Cálc. Reaj. 2018 - Mensal. 2017'!$M$4</f>
        <v>4.4162436548223347</v>
      </c>
      <c r="F22" s="35">
        <f>'Premissas Aprovadas'!$B$4</f>
        <v>290</v>
      </c>
      <c r="G22" s="36">
        <f>'Cálc. Reaj. 2018 - Mensal. 2017'!L24</f>
        <v>18</v>
      </c>
      <c r="H22" s="23"/>
      <c r="I22" s="63"/>
      <c r="J22" s="57"/>
      <c r="L22" s="44"/>
      <c r="M22" s="44"/>
      <c r="N22" s="44"/>
      <c r="O22" s="44"/>
    </row>
    <row r="23" spans="1:32" s="25" customFormat="1" ht="13.7" customHeight="1" x14ac:dyDescent="0.2">
      <c r="A23" s="23"/>
      <c r="B23" s="34">
        <v>20027</v>
      </c>
      <c r="C23" s="32" t="s">
        <v>16</v>
      </c>
      <c r="D23" s="46">
        <f>F23/(1-'Cálc. Reaj. 2018 - Mensal. 2017'!$M$4)</f>
        <v>294.41624365482232</v>
      </c>
      <c r="E23" s="46">
        <f>D23*'Cálc. Reaj. 2018 - Mensal. 2017'!$M$4</f>
        <v>4.4162436548223347</v>
      </c>
      <c r="F23" s="35">
        <f>'Premissas Aprovadas'!$B$4</f>
        <v>290</v>
      </c>
      <c r="G23" s="36">
        <f>'Cálc. Reaj. 2018 - Mensal. 2017'!L25</f>
        <v>18</v>
      </c>
      <c r="H23" s="23"/>
      <c r="I23" s="63"/>
      <c r="J23" s="57"/>
      <c r="L23" s="44"/>
      <c r="M23" s="44"/>
      <c r="N23" s="44"/>
      <c r="O23" s="44"/>
    </row>
    <row r="24" spans="1:32" s="25" customFormat="1" ht="13.7" customHeight="1" x14ac:dyDescent="0.2">
      <c r="A24" s="23"/>
      <c r="B24" s="34">
        <v>20729</v>
      </c>
      <c r="C24" s="32" t="s">
        <v>9</v>
      </c>
      <c r="D24" s="46">
        <f>F24/(1-'Cálc. Reaj. 2018 - Mensal. 2017'!$M$4)</f>
        <v>294.41624365482232</v>
      </c>
      <c r="E24" s="46">
        <f>D24*'Cálc. Reaj. 2018 - Mensal. 2017'!$M$4</f>
        <v>4.4162436548223347</v>
      </c>
      <c r="F24" s="35">
        <f>'Premissas Aprovadas'!$B$4</f>
        <v>290</v>
      </c>
      <c r="G24" s="36">
        <f>'Cálc. Reaj. 2018 - Mensal. 2017'!L26</f>
        <v>18</v>
      </c>
      <c r="H24" s="23"/>
      <c r="I24" s="63"/>
      <c r="J24" s="57"/>
      <c r="L24" s="44"/>
      <c r="M24" s="44"/>
      <c r="N24" s="44"/>
      <c r="O24" s="44"/>
    </row>
    <row r="25" spans="1:32" s="25" customFormat="1" ht="13.7" customHeight="1" x14ac:dyDescent="0.2">
      <c r="A25" s="23"/>
      <c r="B25" s="34">
        <v>20830</v>
      </c>
      <c r="C25" s="32" t="s">
        <v>19</v>
      </c>
      <c r="D25" s="46">
        <f>F25/(1-'Cálc. Reaj. 2018 - Mensal. 2017'!$M$4)</f>
        <v>294.41624365482232</v>
      </c>
      <c r="E25" s="46">
        <f>D25*'Cálc. Reaj. 2018 - Mensal. 2017'!$M$4</f>
        <v>4.4162436548223347</v>
      </c>
      <c r="F25" s="35">
        <f>'Premissas Aprovadas'!$B$4</f>
        <v>290</v>
      </c>
      <c r="G25" s="36">
        <f>'Cálc. Reaj. 2018 - Mensal. 2017'!L27</f>
        <v>18</v>
      </c>
      <c r="H25" s="23"/>
      <c r="I25" s="63"/>
      <c r="J25" s="57"/>
      <c r="L25" s="44"/>
      <c r="M25" s="44"/>
      <c r="N25" s="44"/>
      <c r="O25" s="44"/>
    </row>
    <row r="26" spans="1:32" s="25" customFormat="1" ht="13.7" customHeight="1" x14ac:dyDescent="0.2">
      <c r="A26" s="23"/>
      <c r="B26" s="34">
        <v>20007</v>
      </c>
      <c r="C26" s="32" t="s">
        <v>7</v>
      </c>
      <c r="D26" s="46">
        <f>F26/(1-'Cálc. Reaj. 2018 - Mensal. 2017'!$M$4)</f>
        <v>294.41624365482232</v>
      </c>
      <c r="E26" s="46">
        <f>D26*'Cálc. Reaj. 2018 - Mensal. 2017'!$M$4</f>
        <v>4.4162436548223347</v>
      </c>
      <c r="F26" s="35">
        <f>'Premissas Aprovadas'!$B$4</f>
        <v>290</v>
      </c>
      <c r="G26" s="36">
        <f>'Cálc. Reaj. 2018 - Mensal. 2017'!L28</f>
        <v>18</v>
      </c>
      <c r="H26" s="23"/>
      <c r="I26" s="63"/>
      <c r="J26" s="57"/>
      <c r="L26" s="62"/>
      <c r="M26" s="62"/>
      <c r="N26" s="44"/>
      <c r="O26" s="44"/>
    </row>
    <row r="27" spans="1:32" s="30" customFormat="1" ht="13.7" customHeight="1" x14ac:dyDescent="0.2">
      <c r="B27" s="34">
        <v>20833</v>
      </c>
      <c r="C27" s="32" t="s">
        <v>43</v>
      </c>
      <c r="D27" s="46">
        <f>F27/(1-'Cálc. Reaj. 2018 - Mensal. 2017'!$M$4)</f>
        <v>294.41624365482232</v>
      </c>
      <c r="E27" s="46">
        <f>D27*'Cálc. Reaj. 2018 - Mensal. 2017'!$M$4</f>
        <v>4.4162436548223347</v>
      </c>
      <c r="F27" s="35">
        <f>'Premissas Aprovadas'!$B$4</f>
        <v>290</v>
      </c>
      <c r="G27" s="36">
        <f>'Cálc. Reaj. 2018 - Mensal. 2017'!L29</f>
        <v>18</v>
      </c>
      <c r="I27" s="63"/>
      <c r="J27" s="57"/>
      <c r="K27" s="25"/>
      <c r="L27" s="44"/>
      <c r="M27" s="44"/>
      <c r="N27" s="44"/>
      <c r="O27" s="44"/>
      <c r="AF27" s="25"/>
    </row>
    <row r="28" spans="1:32" s="25" customFormat="1" ht="13.7" customHeight="1" x14ac:dyDescent="0.2">
      <c r="A28" s="23"/>
      <c r="B28" s="34">
        <v>20817</v>
      </c>
      <c r="C28" s="32" t="s">
        <v>17</v>
      </c>
      <c r="D28" s="46">
        <f>F28/(1-'Cálc. Reaj. 2018 - Mensal. 2017'!$M$4)</f>
        <v>294.41624365482232</v>
      </c>
      <c r="E28" s="46">
        <f>D28*'Cálc. Reaj. 2018 - Mensal. 2017'!$M$4</f>
        <v>4.4162436548223347</v>
      </c>
      <c r="F28" s="35">
        <f>'Premissas Aprovadas'!$B$4</f>
        <v>290</v>
      </c>
      <c r="G28" s="36">
        <f>'Cálc. Reaj. 2018 - Mensal. 2017'!L30</f>
        <v>18</v>
      </c>
      <c r="H28" s="23"/>
      <c r="I28" s="63"/>
      <c r="J28" s="57"/>
      <c r="L28" s="44"/>
      <c r="M28" s="44"/>
      <c r="N28" s="44"/>
      <c r="O28" s="44"/>
    </row>
    <row r="29" spans="1:32" s="25" customFormat="1" ht="13.7" customHeight="1" x14ac:dyDescent="0.2">
      <c r="A29" s="23"/>
      <c r="B29" s="34">
        <v>20012</v>
      </c>
      <c r="C29" s="32" t="s">
        <v>13</v>
      </c>
      <c r="D29" s="46">
        <f>F29/(1-'Cálc. Reaj. 2018 - Mensal. 2017'!$M$4)</f>
        <v>294.41624365482232</v>
      </c>
      <c r="E29" s="46">
        <f>D29*'Cálc. Reaj. 2018 - Mensal. 2017'!$M$4</f>
        <v>4.4162436548223347</v>
      </c>
      <c r="F29" s="35">
        <f>'Premissas Aprovadas'!$B$4</f>
        <v>290</v>
      </c>
      <c r="G29" s="36">
        <f>'Cálc. Reaj. 2018 - Mensal. 2017'!L31</f>
        <v>18</v>
      </c>
      <c r="H29" s="23"/>
      <c r="I29" s="63"/>
      <c r="J29" s="57"/>
      <c r="L29" s="44"/>
      <c r="M29" s="44"/>
      <c r="N29" s="44"/>
      <c r="O29" s="44"/>
    </row>
    <row r="30" spans="1:32" s="25" customFormat="1" ht="13.7" customHeight="1" x14ac:dyDescent="0.2">
      <c r="A30" s="23"/>
      <c r="B30" s="34">
        <v>20816</v>
      </c>
      <c r="C30" s="32" t="s">
        <v>18</v>
      </c>
      <c r="D30" s="46">
        <f>F30/(1-'Cálc. Reaj. 2018 - Mensal. 2017'!$M$4)</f>
        <v>294.41624365482232</v>
      </c>
      <c r="E30" s="46">
        <f>D30*'Cálc. Reaj. 2018 - Mensal. 2017'!$M$4</f>
        <v>4.4162436548223347</v>
      </c>
      <c r="F30" s="35">
        <f>'Premissas Aprovadas'!$B$4</f>
        <v>290</v>
      </c>
      <c r="G30" s="36">
        <f>'Cálc. Reaj. 2018 - Mensal. 2017'!L32</f>
        <v>18</v>
      </c>
      <c r="H30" s="23"/>
      <c r="I30" s="63"/>
      <c r="J30" s="57"/>
      <c r="L30" s="62"/>
      <c r="M30" s="62"/>
      <c r="N30" s="44"/>
      <c r="O30" s="44"/>
    </row>
    <row r="31" spans="1:32" s="30" customFormat="1" ht="13.7" customHeight="1" x14ac:dyDescent="0.2">
      <c r="B31" s="54">
        <v>20026</v>
      </c>
      <c r="C31" s="32" t="s">
        <v>41</v>
      </c>
      <c r="D31" s="46">
        <f>F31/(1-'Cálc. Reaj. 2018 - Mensal. 2017'!$M$4)</f>
        <v>294.41624365482232</v>
      </c>
      <c r="E31" s="46">
        <f>D31*'Cálc. Reaj. 2018 - Mensal. 2017'!$M$4</f>
        <v>4.4162436548223347</v>
      </c>
      <c r="F31" s="35">
        <f>'Premissas Aprovadas'!$B$4</f>
        <v>290</v>
      </c>
      <c r="G31" s="36">
        <f>'Cálc. Reaj. 2018 - Mensal. 2017'!L33</f>
        <v>18</v>
      </c>
      <c r="I31" s="63"/>
      <c r="J31" s="57"/>
      <c r="K31" s="25"/>
      <c r="L31" s="44"/>
      <c r="M31" s="44"/>
      <c r="N31" s="44"/>
      <c r="O31" s="44"/>
      <c r="AF31" s="25"/>
    </row>
    <row r="32" spans="1:32" s="25" customFormat="1" ht="13.7" customHeight="1" x14ac:dyDescent="0.2">
      <c r="A32" s="23"/>
      <c r="B32" s="34">
        <v>20022</v>
      </c>
      <c r="C32" s="32" t="s">
        <v>48</v>
      </c>
      <c r="D32" s="46">
        <f>F32/(1-'Cálc. Reaj. 2018 - Mensal. 2017'!$M$4)</f>
        <v>294.41624365482232</v>
      </c>
      <c r="E32" s="46">
        <f>D32*'Cálc. Reaj. 2018 - Mensal. 2017'!$M$4</f>
        <v>4.4162436548223347</v>
      </c>
      <c r="F32" s="35">
        <f>'Premissas Aprovadas'!$B$4</f>
        <v>290</v>
      </c>
      <c r="G32" s="36">
        <f>'Cálc. Reaj. 2018 - Mensal. 2017'!L34</f>
        <v>18</v>
      </c>
      <c r="H32" s="23"/>
      <c r="I32" s="63"/>
      <c r="J32" s="57"/>
      <c r="L32" s="44"/>
      <c r="M32" s="44"/>
      <c r="N32" s="44"/>
      <c r="O32" s="44"/>
    </row>
    <row r="33" spans="1:32" s="25" customFormat="1" ht="13.7" customHeight="1" x14ac:dyDescent="0.2">
      <c r="A33" s="23"/>
      <c r="B33" s="34">
        <v>20031</v>
      </c>
      <c r="C33" s="32" t="s">
        <v>23</v>
      </c>
      <c r="D33" s="46">
        <f>F33/(1-'Cálc. Reaj. 2018 - Mensal. 2017'!$M$4)</f>
        <v>294.41624365482232</v>
      </c>
      <c r="E33" s="46">
        <f>D33*'Cálc. Reaj. 2018 - Mensal. 2017'!$M$4</f>
        <v>4.4162436548223347</v>
      </c>
      <c r="F33" s="35">
        <f>'Premissas Aprovadas'!$B$4</f>
        <v>290</v>
      </c>
      <c r="G33" s="36">
        <f>'Cálc. Reaj. 2018 - Mensal. 2017'!L35</f>
        <v>18</v>
      </c>
      <c r="H33" s="23"/>
      <c r="I33" s="63"/>
      <c r="J33" s="57"/>
      <c r="L33" s="62"/>
      <c r="M33" s="62"/>
      <c r="N33" s="44"/>
      <c r="O33" s="44"/>
    </row>
    <row r="34" spans="1:32" s="30" customFormat="1" ht="13.7" customHeight="1" x14ac:dyDescent="0.2">
      <c r="B34" s="34">
        <v>20832</v>
      </c>
      <c r="C34" s="32" t="s">
        <v>44</v>
      </c>
      <c r="D34" s="46">
        <f>F34/(1-'Cálc. Reaj. 2018 - Mensal. 2017'!$M$4)</f>
        <v>294.41624365482232</v>
      </c>
      <c r="E34" s="46">
        <f>D34*'Cálc. Reaj. 2018 - Mensal. 2017'!$M$4</f>
        <v>4.4162436548223347</v>
      </c>
      <c r="F34" s="35">
        <f>'Premissas Aprovadas'!$B$4</f>
        <v>290</v>
      </c>
      <c r="G34" s="36">
        <f>'Cálc. Reaj. 2018 - Mensal. 2017'!L36</f>
        <v>18</v>
      </c>
      <c r="I34" s="63"/>
      <c r="J34" s="57"/>
      <c r="K34" s="25"/>
      <c r="L34" s="44"/>
      <c r="M34" s="44"/>
      <c r="N34" s="44"/>
      <c r="O34" s="44"/>
      <c r="AF34" s="25"/>
    </row>
    <row r="35" spans="1:32" s="25" customFormat="1" ht="13.7" customHeight="1" x14ac:dyDescent="0.2">
      <c r="A35" s="45"/>
      <c r="B35" s="34">
        <v>20801</v>
      </c>
      <c r="C35" s="32" t="s">
        <v>10</v>
      </c>
      <c r="D35" s="46">
        <f>F35/(1-'Cálc. Reaj. 2018 - Mensal. 2017'!$M$4)</f>
        <v>294.41624365482232</v>
      </c>
      <c r="E35" s="46">
        <f>D35*'Cálc. Reaj. 2018 - Mensal. 2017'!$M$4</f>
        <v>4.4162436548223347</v>
      </c>
      <c r="F35" s="35">
        <f>'Premissas Aprovadas'!$B$4</f>
        <v>290</v>
      </c>
      <c r="G35" s="36">
        <f>'Cálc. Reaj. 2018 - Mensal. 2017'!L37</f>
        <v>18</v>
      </c>
      <c r="H35" s="23"/>
      <c r="I35" s="63"/>
      <c r="J35" s="57"/>
      <c r="L35" s="44"/>
      <c r="M35" s="44"/>
      <c r="N35" s="44"/>
      <c r="O35" s="44"/>
    </row>
    <row r="36" spans="1:32" s="25" customFormat="1" ht="13.7" customHeight="1" x14ac:dyDescent="0.2">
      <c r="A36" s="45"/>
      <c r="B36" s="54">
        <v>20023</v>
      </c>
      <c r="C36" s="32" t="s">
        <v>49</v>
      </c>
      <c r="D36" s="46">
        <f>F36/(1-'Cálc. Reaj. 2018 - Mensal. 2017'!$M$4)</f>
        <v>294.42</v>
      </c>
      <c r="E36" s="46">
        <f>D36-F36</f>
        <v>4.4162999999999784</v>
      </c>
      <c r="F36" s="35">
        <f>[1]Orçamento!$I$70</f>
        <v>290.00370000000004</v>
      </c>
      <c r="G36" s="36">
        <f>'[1]Dados do Curso'!$H$13</f>
        <v>18</v>
      </c>
      <c r="H36" s="23"/>
      <c r="I36" s="63"/>
      <c r="J36" s="57"/>
      <c r="L36" s="44"/>
      <c r="M36" s="44"/>
      <c r="N36" s="44"/>
      <c r="O36" s="44"/>
    </row>
    <row r="37" spans="1:32" s="25" customFormat="1" ht="13.7" customHeight="1" x14ac:dyDescent="0.2">
      <c r="A37" s="45"/>
      <c r="B37" s="102" t="s">
        <v>375</v>
      </c>
      <c r="C37" s="32" t="s">
        <v>363</v>
      </c>
      <c r="D37" s="46">
        <f>F37/(1-'Cálc. Reaj. 2018 - Mensal. 2017'!$M$4)</f>
        <v>294.42</v>
      </c>
      <c r="E37" s="46">
        <f t="shared" ref="E37:E48" si="0">D37-F37</f>
        <v>4.4162999999999784</v>
      </c>
      <c r="F37" s="35">
        <f>[2]Orçamento!$I$70</f>
        <v>290.00370000000004</v>
      </c>
      <c r="G37" s="36">
        <f>'[2]Dados do Curso'!$H$13</f>
        <v>18</v>
      </c>
      <c r="H37" s="23"/>
      <c r="I37" s="63"/>
      <c r="J37" s="57"/>
    </row>
    <row r="38" spans="1:32" s="25" customFormat="1" ht="13.7" customHeight="1" x14ac:dyDescent="0.2">
      <c r="A38" s="45"/>
      <c r="B38" s="102" t="s">
        <v>375</v>
      </c>
      <c r="C38" s="32" t="s">
        <v>364</v>
      </c>
      <c r="D38" s="46">
        <f>F38/(1-'Cálc. Reaj. 2018 - Mensal. 2017'!$M$4)</f>
        <v>294.42</v>
      </c>
      <c r="E38" s="46">
        <f t="shared" si="0"/>
        <v>4.4162999999999784</v>
      </c>
      <c r="F38" s="35">
        <f>[3]Orçamento!$I$70</f>
        <v>290.00370000000004</v>
      </c>
      <c r="G38" s="36">
        <f>'[3]Dados do Curso'!$H$13</f>
        <v>18</v>
      </c>
      <c r="H38" s="23"/>
      <c r="I38" s="63"/>
      <c r="J38" s="57"/>
    </row>
    <row r="39" spans="1:32" s="25" customFormat="1" ht="13.7" customHeight="1" x14ac:dyDescent="0.2">
      <c r="A39" s="45"/>
      <c r="B39" s="102" t="s">
        <v>375</v>
      </c>
      <c r="C39" s="32" t="s">
        <v>365</v>
      </c>
      <c r="D39" s="46">
        <f>F39/(1-'Cálc. Reaj. 2018 - Mensal. 2017'!$M$4)</f>
        <v>294.42</v>
      </c>
      <c r="E39" s="46">
        <f t="shared" si="0"/>
        <v>4.4162999999999784</v>
      </c>
      <c r="F39" s="35">
        <f>[4]Orçamento!$I$70</f>
        <v>290.00370000000004</v>
      </c>
      <c r="G39" s="36">
        <f>'[4]Dados do Curso'!$H$13</f>
        <v>18</v>
      </c>
      <c r="H39" s="23"/>
      <c r="I39" s="63"/>
      <c r="J39" s="57"/>
    </row>
    <row r="40" spans="1:32" s="25" customFormat="1" ht="13.7" customHeight="1" x14ac:dyDescent="0.2">
      <c r="A40" s="45"/>
      <c r="B40" s="102" t="s">
        <v>375</v>
      </c>
      <c r="C40" s="32" t="s">
        <v>366</v>
      </c>
      <c r="D40" s="46">
        <f>F40/(1-'Cálc. Reaj. 2018 - Mensal. 2017'!$M$4)</f>
        <v>294.42</v>
      </c>
      <c r="E40" s="46">
        <f t="shared" si="0"/>
        <v>4.4162999999999784</v>
      </c>
      <c r="F40" s="35">
        <f>[5]Orçamento!$I$70</f>
        <v>290.00370000000004</v>
      </c>
      <c r="G40" s="36">
        <f>'[5]Dados do Curso'!$H$13</f>
        <v>18</v>
      </c>
      <c r="H40" s="23"/>
      <c r="I40" s="63"/>
      <c r="J40" s="57"/>
    </row>
    <row r="41" spans="1:32" s="25" customFormat="1" ht="13.7" customHeight="1" x14ac:dyDescent="0.2">
      <c r="A41" s="45"/>
      <c r="B41" s="102" t="s">
        <v>375</v>
      </c>
      <c r="C41" s="32" t="s">
        <v>367</v>
      </c>
      <c r="D41" s="46">
        <f>F41/(1-'Cálc. Reaj. 2018 - Mensal. 2017'!$M$4)</f>
        <v>294.42</v>
      </c>
      <c r="E41" s="46">
        <f t="shared" si="0"/>
        <v>4.4162999999999784</v>
      </c>
      <c r="F41" s="35">
        <f>[6]Orçamento!$I$70</f>
        <v>290.00370000000004</v>
      </c>
      <c r="G41" s="36">
        <f>'[6]Dados do Curso'!$H$13</f>
        <v>18</v>
      </c>
      <c r="H41" s="23"/>
      <c r="I41" s="63"/>
      <c r="J41" s="57"/>
    </row>
    <row r="42" spans="1:32" s="25" customFormat="1" ht="13.7" customHeight="1" x14ac:dyDescent="0.2">
      <c r="A42" s="45"/>
      <c r="B42" s="102" t="s">
        <v>375</v>
      </c>
      <c r="C42" s="32" t="s">
        <v>368</v>
      </c>
      <c r="D42" s="46">
        <f>F42/(1-'Cálc. Reaj. 2018 - Mensal. 2017'!$M$4)</f>
        <v>294.42</v>
      </c>
      <c r="E42" s="46">
        <f t="shared" si="0"/>
        <v>4.4162999999999784</v>
      </c>
      <c r="F42" s="35">
        <f>[7]Orçamento!$I$70</f>
        <v>290.00370000000004</v>
      </c>
      <c r="G42" s="36">
        <f>'[7]Dados do Curso'!$H$13</f>
        <v>18</v>
      </c>
      <c r="H42" s="23"/>
      <c r="I42" s="63"/>
      <c r="J42" s="57"/>
    </row>
    <row r="43" spans="1:32" s="25" customFormat="1" ht="13.7" customHeight="1" x14ac:dyDescent="0.2">
      <c r="A43" s="45"/>
      <c r="B43" s="102" t="s">
        <v>375</v>
      </c>
      <c r="C43" s="32" t="s">
        <v>369</v>
      </c>
      <c r="D43" s="46">
        <f>F43/(1-'Cálc. Reaj. 2018 - Mensal. 2017'!$M$4)</f>
        <v>294.42</v>
      </c>
      <c r="E43" s="46">
        <f t="shared" si="0"/>
        <v>4.4162999999999784</v>
      </c>
      <c r="F43" s="35">
        <f>[8]Orçamento!$I$70</f>
        <v>290.00370000000004</v>
      </c>
      <c r="G43" s="36">
        <f>'[8]Dados do Curso'!$H$13</f>
        <v>18</v>
      </c>
      <c r="H43" s="23"/>
      <c r="I43" s="63"/>
      <c r="J43" s="57"/>
    </row>
    <row r="44" spans="1:32" s="25" customFormat="1" ht="13.7" customHeight="1" x14ac:dyDescent="0.2">
      <c r="A44" s="45"/>
      <c r="B44" s="102" t="s">
        <v>375</v>
      </c>
      <c r="C44" s="32" t="s">
        <v>370</v>
      </c>
      <c r="D44" s="46">
        <f>F44/(1-'Cálc. Reaj. 2018 - Mensal. 2017'!$M$4)</f>
        <v>294.42</v>
      </c>
      <c r="E44" s="46">
        <f t="shared" si="0"/>
        <v>4.4162999999999784</v>
      </c>
      <c r="F44" s="35">
        <f>[9]Orçamento!$I$70</f>
        <v>290.00370000000004</v>
      </c>
      <c r="G44" s="36">
        <f>'[9]Dados do Curso'!$H$13</f>
        <v>18</v>
      </c>
      <c r="H44" s="23"/>
      <c r="I44" s="63"/>
      <c r="J44" s="57"/>
    </row>
    <row r="45" spans="1:32" s="25" customFormat="1" ht="13.7" customHeight="1" x14ac:dyDescent="0.2">
      <c r="A45" s="45"/>
      <c r="B45" s="102" t="s">
        <v>375</v>
      </c>
      <c r="C45" s="32" t="s">
        <v>371</v>
      </c>
      <c r="D45" s="46">
        <f>F45/(1-'Cálc. Reaj. 2018 - Mensal. 2017'!$M$4)</f>
        <v>294.42</v>
      </c>
      <c r="E45" s="46">
        <f t="shared" si="0"/>
        <v>4.4162999999999784</v>
      </c>
      <c r="F45" s="35">
        <f>[10]Orçamento!$I$70</f>
        <v>290.00370000000004</v>
      </c>
      <c r="G45" s="36">
        <f>'[10]Dados do Curso'!$H$13</f>
        <v>18</v>
      </c>
      <c r="H45" s="23"/>
      <c r="I45" s="63"/>
      <c r="J45" s="57"/>
    </row>
    <row r="46" spans="1:32" s="25" customFormat="1" ht="13.7" customHeight="1" x14ac:dyDescent="0.2">
      <c r="A46" s="45"/>
      <c r="B46" s="102" t="s">
        <v>375</v>
      </c>
      <c r="C46" s="32" t="s">
        <v>372</v>
      </c>
      <c r="D46" s="46">
        <f>F46/(1-'Cálc. Reaj. 2018 - Mensal. 2017'!$M$4)</f>
        <v>294.42</v>
      </c>
      <c r="E46" s="46">
        <f t="shared" si="0"/>
        <v>4.4162999999999784</v>
      </c>
      <c r="F46" s="35">
        <f>[11]Orçamento!$I$70</f>
        <v>290.00370000000004</v>
      </c>
      <c r="G46" s="36">
        <f>'[11]Dados do Curso'!$H$13</f>
        <v>18</v>
      </c>
      <c r="H46" s="23"/>
      <c r="I46" s="63"/>
      <c r="J46" s="57"/>
    </row>
    <row r="47" spans="1:32" s="25" customFormat="1" ht="13.7" customHeight="1" x14ac:dyDescent="0.2">
      <c r="A47" s="45"/>
      <c r="B47" s="102" t="s">
        <v>375</v>
      </c>
      <c r="C47" s="32" t="s">
        <v>373</v>
      </c>
      <c r="D47" s="46">
        <f>F47/(1-'Cálc. Reaj. 2018 - Mensal. 2017'!$M$4)</f>
        <v>294.42</v>
      </c>
      <c r="E47" s="46">
        <f t="shared" si="0"/>
        <v>4.4162999999999784</v>
      </c>
      <c r="F47" s="35">
        <f>[12]Orçamento!$I$70</f>
        <v>290.00370000000004</v>
      </c>
      <c r="G47" s="36">
        <f>'[12]Dados do Curso'!$H$13</f>
        <v>18</v>
      </c>
      <c r="H47" s="23"/>
      <c r="I47" s="63"/>
      <c r="J47" s="57"/>
    </row>
    <row r="48" spans="1:32" s="25" customFormat="1" ht="13.7" customHeight="1" x14ac:dyDescent="0.2">
      <c r="A48" s="45"/>
      <c r="B48" s="102" t="s">
        <v>375</v>
      </c>
      <c r="C48" s="32" t="s">
        <v>374</v>
      </c>
      <c r="D48" s="46">
        <f>F48/(1-'Cálc. Reaj. 2018 - Mensal. 2017'!$M$4)</f>
        <v>294.42</v>
      </c>
      <c r="E48" s="46">
        <f t="shared" si="0"/>
        <v>4.4162999999999784</v>
      </c>
      <c r="F48" s="35">
        <f>[13]Orçamento!$I$70</f>
        <v>290.00370000000004</v>
      </c>
      <c r="G48" s="36">
        <f>'[13]Dados do Curso'!$H$13</f>
        <v>18</v>
      </c>
      <c r="H48" s="23"/>
      <c r="I48" s="63"/>
      <c r="J48" s="57"/>
    </row>
    <row r="49" spans="1:10" s="25" customFormat="1" ht="13.7" customHeight="1" x14ac:dyDescent="0.2">
      <c r="A49" s="45"/>
      <c r="B49" s="102" t="s">
        <v>375</v>
      </c>
      <c r="C49" s="32" t="s">
        <v>377</v>
      </c>
      <c r="D49" s="46">
        <f>F49/(1-'Cálc. Reaj. 2018 - Mensal. 2017'!$M$4)</f>
        <v>294.42</v>
      </c>
      <c r="E49" s="46">
        <f t="shared" ref="E49" si="1">D49-F49</f>
        <v>4.4162999999999784</v>
      </c>
      <c r="F49" s="35">
        <f>[13]Orçamento!$I$70</f>
        <v>290.00370000000004</v>
      </c>
      <c r="G49" s="36">
        <f>'[13]Dados do Curso'!$H$13</f>
        <v>18</v>
      </c>
      <c r="H49" s="23"/>
      <c r="I49" s="63"/>
      <c r="J49" s="57"/>
    </row>
    <row r="50" spans="1:10" s="25" customFormat="1" ht="13.7" customHeight="1" x14ac:dyDescent="0.2">
      <c r="A50" s="45"/>
      <c r="B50" s="102" t="s">
        <v>375</v>
      </c>
      <c r="C50" s="32" t="s">
        <v>382</v>
      </c>
      <c r="D50" s="46">
        <f>F50/(1-'Cálc. Reaj. 2018 - Mensal. 2017'!$M$4)</f>
        <v>294.42</v>
      </c>
      <c r="E50" s="46">
        <f t="shared" ref="E50:E56" si="2">D50-F50</f>
        <v>4.4162999999999784</v>
      </c>
      <c r="F50" s="35">
        <f>[14]Orçamento!$I$70</f>
        <v>290.00370000000004</v>
      </c>
      <c r="G50" s="36">
        <f>'[14]Dados do Curso'!$H$13</f>
        <v>18</v>
      </c>
      <c r="H50" s="23"/>
      <c r="I50" s="24"/>
    </row>
    <row r="51" spans="1:10" s="25" customFormat="1" ht="16.899999999999999" customHeight="1" x14ac:dyDescent="0.2">
      <c r="A51" s="23"/>
      <c r="B51" s="102" t="s">
        <v>375</v>
      </c>
      <c r="C51" s="32" t="s">
        <v>383</v>
      </c>
      <c r="D51" s="46">
        <f>F51/(1-'Cálc. Reaj. 2018 - Mensal. 2017'!$M$4)</f>
        <v>294.42</v>
      </c>
      <c r="E51" s="46">
        <f t="shared" si="2"/>
        <v>4.4162999999999784</v>
      </c>
      <c r="F51" s="35">
        <f>[15]Orçamento!$I$70</f>
        <v>290.00370000000004</v>
      </c>
      <c r="G51" s="36">
        <f>'[15]Dados do Curso'!$H$13</f>
        <v>18</v>
      </c>
      <c r="H51" s="23"/>
      <c r="I51" s="24"/>
    </row>
    <row r="52" spans="1:10" s="25" customFormat="1" ht="16.899999999999999" customHeight="1" x14ac:dyDescent="0.2">
      <c r="A52" s="23"/>
      <c r="B52" s="102" t="s">
        <v>375</v>
      </c>
      <c r="C52" s="32" t="s">
        <v>384</v>
      </c>
      <c r="D52" s="46">
        <f>F52/(1-'Cálc. Reaj. 2018 - Mensal. 2017'!$M$4)</f>
        <v>294.42</v>
      </c>
      <c r="E52" s="46">
        <f t="shared" si="2"/>
        <v>4.4162999999999784</v>
      </c>
      <c r="F52" s="35">
        <f>[16]Orçamento!$I$70</f>
        <v>290.00370000000004</v>
      </c>
      <c r="G52" s="36">
        <f>'[16]Dados do Curso'!$H$13</f>
        <v>18</v>
      </c>
      <c r="H52" s="23"/>
      <c r="I52" s="24"/>
    </row>
    <row r="53" spans="1:10" s="25" customFormat="1" ht="16.899999999999999" customHeight="1" x14ac:dyDescent="0.2">
      <c r="A53" s="23"/>
      <c r="B53" s="102" t="s">
        <v>375</v>
      </c>
      <c r="C53" s="32" t="s">
        <v>385</v>
      </c>
      <c r="D53" s="46">
        <f>F53/(1-'Cálc. Reaj. 2018 - Mensal. 2017'!$M$4)</f>
        <v>294.42</v>
      </c>
      <c r="E53" s="46">
        <f t="shared" si="2"/>
        <v>4.4162999999999784</v>
      </c>
      <c r="F53" s="35">
        <f>[17]Orçamento!$I$70</f>
        <v>290.00370000000004</v>
      </c>
      <c r="G53" s="36">
        <f>'[17]Dados do Curso'!$H$13</f>
        <v>18</v>
      </c>
      <c r="H53" s="23"/>
      <c r="I53" s="24"/>
    </row>
    <row r="54" spans="1:10" s="25" customFormat="1" ht="16.899999999999999" customHeight="1" x14ac:dyDescent="0.2">
      <c r="A54" s="23"/>
      <c r="B54" s="102" t="s">
        <v>375</v>
      </c>
      <c r="C54" s="32" t="s">
        <v>386</v>
      </c>
      <c r="D54" s="46">
        <f>F54/(1-'Cálc. Reaj. 2018 - Mensal. 2017'!$M$4)</f>
        <v>294.42</v>
      </c>
      <c r="E54" s="46">
        <f t="shared" si="2"/>
        <v>4.4162999999999784</v>
      </c>
      <c r="F54" s="35">
        <f>[18]Orçamento!$I$70</f>
        <v>290.00370000000004</v>
      </c>
      <c r="G54" s="36">
        <f>'[18]Dados do Curso'!$H$13</f>
        <v>18</v>
      </c>
      <c r="H54" s="23"/>
      <c r="I54" s="24"/>
    </row>
    <row r="55" spans="1:10" s="25" customFormat="1" ht="16.899999999999999" customHeight="1" x14ac:dyDescent="0.2">
      <c r="A55" s="23"/>
      <c r="B55" s="102" t="s">
        <v>375</v>
      </c>
      <c r="C55" s="32" t="s">
        <v>387</v>
      </c>
      <c r="D55" s="46">
        <f>F55/(1-'Cálc. Reaj. 2018 - Mensal. 2017'!$M$4)</f>
        <v>294.42</v>
      </c>
      <c r="E55" s="46">
        <f t="shared" si="2"/>
        <v>4.4162999999999784</v>
      </c>
      <c r="F55" s="35">
        <f>[19]Orçamento!$I$70</f>
        <v>290.00370000000004</v>
      </c>
      <c r="G55" s="36">
        <f>'[19]Dados do Curso'!$H$13</f>
        <v>18</v>
      </c>
      <c r="H55" s="23"/>
      <c r="I55" s="24"/>
    </row>
    <row r="56" spans="1:10" s="25" customFormat="1" ht="16.899999999999999" customHeight="1" x14ac:dyDescent="0.2">
      <c r="A56" s="23"/>
      <c r="B56" s="102" t="s">
        <v>375</v>
      </c>
      <c r="C56" s="32" t="s">
        <v>388</v>
      </c>
      <c r="D56" s="46">
        <f>F56/(1-'Cálc. Reaj. 2018 - Mensal. 2017'!$M$4)</f>
        <v>294.42</v>
      </c>
      <c r="E56" s="46">
        <f t="shared" si="2"/>
        <v>4.4162999999999784</v>
      </c>
      <c r="F56" s="35">
        <f>[20]Orçamento!$I$70</f>
        <v>290.00370000000004</v>
      </c>
      <c r="G56" s="36">
        <f>'[20]Dados do Curso'!$H$13</f>
        <v>18</v>
      </c>
      <c r="H56" s="23"/>
      <c r="I56" s="24"/>
    </row>
    <row r="57" spans="1:10" s="25" customFormat="1" ht="16.899999999999999" customHeight="1" x14ac:dyDescent="0.2">
      <c r="A57" s="23"/>
      <c r="B57" s="102" t="s">
        <v>375</v>
      </c>
      <c r="C57" s="32" t="s">
        <v>389</v>
      </c>
      <c r="D57" s="46">
        <f>F57/(1-'Cálc. Reaj. 2018 - Mensal. 2017'!$M$4)</f>
        <v>294.42</v>
      </c>
      <c r="E57" s="46">
        <f t="shared" ref="E57" si="3">D57-F57</f>
        <v>4.4162999999999784</v>
      </c>
      <c r="F57" s="35">
        <f>[21]Orçamento!$I$70</f>
        <v>290.00370000000004</v>
      </c>
      <c r="G57" s="36">
        <f>'[21]Dados do Curso'!$H$13</f>
        <v>18</v>
      </c>
      <c r="H57" s="23"/>
      <c r="I57" s="24"/>
    </row>
    <row r="58" spans="1:10" s="25" customFormat="1" ht="16.899999999999999" customHeight="1" x14ac:dyDescent="0.2">
      <c r="A58" s="23"/>
      <c r="B58" s="102" t="s">
        <v>375</v>
      </c>
      <c r="C58" s="32" t="s">
        <v>390</v>
      </c>
      <c r="D58" s="46">
        <f>F58/(1-'Cálc. Reaj. 2018 - Mensal. 2017'!$M$4)</f>
        <v>294.42</v>
      </c>
      <c r="E58" s="46">
        <f t="shared" ref="E58:E65" si="4">D58-F58</f>
        <v>4.4162999999999784</v>
      </c>
      <c r="F58" s="35">
        <f>[22]Orçamento!$I$70</f>
        <v>290.00370000000004</v>
      </c>
      <c r="G58" s="36">
        <f>'[22]Dados do Curso'!$H$13</f>
        <v>18</v>
      </c>
      <c r="H58" s="17"/>
      <c r="I58" s="24"/>
    </row>
    <row r="59" spans="1:10" s="25" customFormat="1" ht="16.899999999999999" customHeight="1" x14ac:dyDescent="0.2">
      <c r="A59" s="23"/>
      <c r="B59" s="102" t="s">
        <v>375</v>
      </c>
      <c r="C59" s="32" t="s">
        <v>391</v>
      </c>
      <c r="D59" s="46">
        <f>F59/(1-'Cálc. Reaj. 2018 - Mensal. 2017'!$M$4)</f>
        <v>294.42</v>
      </c>
      <c r="E59" s="46">
        <f t="shared" si="4"/>
        <v>4.4162999999999784</v>
      </c>
      <c r="F59" s="35">
        <f>[23]Orçamento!$I$70</f>
        <v>290.00370000000004</v>
      </c>
      <c r="G59" s="36">
        <f>'[23]Dados do Curso'!$H$13</f>
        <v>18</v>
      </c>
      <c r="H59" s="17"/>
      <c r="I59" s="24"/>
    </row>
    <row r="60" spans="1:10" s="25" customFormat="1" ht="16.899999999999999" customHeight="1" x14ac:dyDescent="0.2">
      <c r="A60" s="23"/>
      <c r="B60" s="102" t="s">
        <v>375</v>
      </c>
      <c r="C60" s="32" t="s">
        <v>392</v>
      </c>
      <c r="D60" s="46">
        <f>F60/(1-'Cálc. Reaj. 2018 - Mensal. 2017'!$M$4)</f>
        <v>294.42</v>
      </c>
      <c r="E60" s="46">
        <f t="shared" si="4"/>
        <v>4.4162999999999784</v>
      </c>
      <c r="F60" s="35">
        <f>[24]Orçamento!$I$70</f>
        <v>290.00370000000004</v>
      </c>
      <c r="G60" s="36">
        <f>'[24]Dados do Curso'!$H$13</f>
        <v>18</v>
      </c>
      <c r="H60" s="17"/>
      <c r="I60" s="24"/>
    </row>
    <row r="61" spans="1:10" s="25" customFormat="1" ht="16.899999999999999" customHeight="1" x14ac:dyDescent="0.2">
      <c r="A61" s="23"/>
      <c r="B61" s="102" t="s">
        <v>375</v>
      </c>
      <c r="C61" s="32" t="s">
        <v>393</v>
      </c>
      <c r="D61" s="46">
        <f>F61/(1-'Cálc. Reaj. 2018 - Mensal. 2017'!$M$4)</f>
        <v>294.42</v>
      </c>
      <c r="E61" s="46">
        <f t="shared" si="4"/>
        <v>4.4162999999999784</v>
      </c>
      <c r="F61" s="35">
        <f>[25]Orçamento!$I$70</f>
        <v>290.00370000000004</v>
      </c>
      <c r="G61" s="36">
        <f>'[25]Dados do Curso'!$H$13</f>
        <v>18</v>
      </c>
      <c r="H61" s="17"/>
      <c r="I61" s="24"/>
    </row>
    <row r="62" spans="1:10" s="25" customFormat="1" ht="16.899999999999999" customHeight="1" x14ac:dyDescent="0.2">
      <c r="A62" s="23"/>
      <c r="B62" s="102" t="s">
        <v>375</v>
      </c>
      <c r="C62" s="32" t="s">
        <v>394</v>
      </c>
      <c r="D62" s="46">
        <f>F62/(1-'Cálc. Reaj. 2018 - Mensal. 2017'!$M$4)</f>
        <v>294.42</v>
      </c>
      <c r="E62" s="46">
        <f t="shared" si="4"/>
        <v>4.4162999999999784</v>
      </c>
      <c r="F62" s="35">
        <f>[26]Orçamento!$I$70</f>
        <v>290.00370000000004</v>
      </c>
      <c r="G62" s="36">
        <f>'[26]Dados do Curso'!$H$13</f>
        <v>18</v>
      </c>
      <c r="H62" s="17"/>
      <c r="I62" s="24"/>
    </row>
    <row r="63" spans="1:10" s="25" customFormat="1" ht="16.899999999999999" customHeight="1" x14ac:dyDescent="0.2">
      <c r="A63" s="23"/>
      <c r="B63" s="102" t="s">
        <v>375</v>
      </c>
      <c r="C63" s="32" t="s">
        <v>395</v>
      </c>
      <c r="D63" s="46">
        <f>F63/(1-'Cálc. Reaj. 2018 - Mensal. 2017'!$M$4)</f>
        <v>294.42</v>
      </c>
      <c r="E63" s="46">
        <f t="shared" si="4"/>
        <v>4.4162999999999784</v>
      </c>
      <c r="F63" s="35">
        <f>[27]Orçamento!$I$70</f>
        <v>290.00370000000004</v>
      </c>
      <c r="G63" s="36">
        <f>'[27]Dados do Curso'!$H$13</f>
        <v>18</v>
      </c>
      <c r="H63" s="17"/>
      <c r="I63" s="24"/>
    </row>
    <row r="64" spans="1:10" s="25" customFormat="1" ht="16.899999999999999" customHeight="1" x14ac:dyDescent="0.2">
      <c r="A64" s="23"/>
      <c r="B64" s="102" t="s">
        <v>375</v>
      </c>
      <c r="C64" s="32" t="s">
        <v>396</v>
      </c>
      <c r="D64" s="46">
        <f>F64/(1-'Cálc. Reaj. 2018 - Mensal. 2017'!$M$4)</f>
        <v>294.42</v>
      </c>
      <c r="E64" s="46">
        <f t="shared" si="4"/>
        <v>4.4162999999999784</v>
      </c>
      <c r="F64" s="35">
        <f>[28]Orçamento!$I$70</f>
        <v>290.00370000000004</v>
      </c>
      <c r="G64" s="36">
        <f>'[28]Dados do Curso'!$H$13</f>
        <v>18</v>
      </c>
      <c r="H64" s="17"/>
      <c r="I64" s="24"/>
    </row>
    <row r="65" spans="1:9" s="25" customFormat="1" ht="16.899999999999999" customHeight="1" x14ac:dyDescent="0.2">
      <c r="A65" s="23"/>
      <c r="B65" s="102" t="s">
        <v>375</v>
      </c>
      <c r="C65" s="32" t="s">
        <v>397</v>
      </c>
      <c r="D65" s="46">
        <f>F65/(1-'Cálc. Reaj. 2018 - Mensal. 2017'!$M$4)</f>
        <v>294.42</v>
      </c>
      <c r="E65" s="46">
        <f t="shared" si="4"/>
        <v>4.4162999999999784</v>
      </c>
      <c r="F65" s="35">
        <f>[29]Orçamento!$I$70</f>
        <v>290.00370000000004</v>
      </c>
      <c r="G65" s="36">
        <f>'[29]Dados do Curso'!$H$13</f>
        <v>18</v>
      </c>
      <c r="H65" s="17"/>
      <c r="I65" s="24"/>
    </row>
    <row r="66" spans="1:9" s="25" customFormat="1" ht="16.899999999999999" customHeight="1" x14ac:dyDescent="0.2">
      <c r="A66" s="23"/>
      <c r="B66" s="115"/>
      <c r="C66" s="115"/>
      <c r="D66" s="115"/>
      <c r="E66" s="115"/>
      <c r="F66" s="115"/>
      <c r="G66" s="115"/>
      <c r="H66" s="17"/>
      <c r="I66" s="24"/>
    </row>
    <row r="67" spans="1:9" s="25" customFormat="1" ht="16.899999999999999" customHeight="1" x14ac:dyDescent="0.2">
      <c r="A67" s="23"/>
      <c r="B67" s="116" t="s">
        <v>26</v>
      </c>
      <c r="C67" s="116"/>
      <c r="D67" s="116"/>
      <c r="E67" s="116"/>
      <c r="F67" s="116"/>
      <c r="G67" s="116"/>
      <c r="H67" s="17"/>
      <c r="I67" s="24"/>
    </row>
    <row r="68" spans="1:9" s="25" customFormat="1" ht="16.899999999999999" customHeight="1" x14ac:dyDescent="0.2">
      <c r="A68" s="23"/>
      <c r="B68" s="116"/>
      <c r="C68" s="116"/>
      <c r="D68" s="116"/>
      <c r="E68" s="116"/>
      <c r="F68" s="116"/>
      <c r="G68" s="116"/>
      <c r="H68" s="116"/>
      <c r="I68" s="24"/>
    </row>
    <row r="69" spans="1:9" s="25" customFormat="1" ht="35.25" customHeight="1" x14ac:dyDescent="0.2">
      <c r="A69" s="23"/>
      <c r="B69" s="19"/>
      <c r="C69" s="20"/>
      <c r="D69" s="20"/>
      <c r="E69" s="20"/>
      <c r="F69" s="21"/>
      <c r="G69" s="20"/>
      <c r="H69" s="20"/>
      <c r="I69" s="24"/>
    </row>
    <row r="70" spans="1:9" s="25" customFormat="1" ht="16.899999999999999" customHeight="1" x14ac:dyDescent="0.2">
      <c r="A70" s="23"/>
      <c r="B70" s="117" t="s">
        <v>339</v>
      </c>
      <c r="C70" s="117"/>
      <c r="D70" s="117"/>
      <c r="E70" s="117"/>
      <c r="F70" s="117"/>
      <c r="G70" s="6"/>
      <c r="H70" s="6"/>
      <c r="I70" s="24"/>
    </row>
    <row r="71" spans="1:9" s="25" customFormat="1" ht="35.25" customHeight="1" x14ac:dyDescent="0.2">
      <c r="A71" s="23"/>
      <c r="B71" s="7"/>
      <c r="C71" s="8"/>
      <c r="D71" s="9"/>
      <c r="E71" s="9"/>
      <c r="F71" s="9"/>
      <c r="G71" s="10"/>
      <c r="H71" s="6"/>
      <c r="I71" s="24"/>
    </row>
    <row r="72" spans="1:9" s="25" customFormat="1" ht="16.899999999999999" customHeight="1" x14ac:dyDescent="0.2">
      <c r="A72" s="23"/>
      <c r="B72" s="112" t="s">
        <v>340</v>
      </c>
      <c r="C72" s="112"/>
      <c r="D72" s="112"/>
      <c r="E72" s="112"/>
      <c r="F72" s="112"/>
      <c r="G72" s="112"/>
      <c r="H72" s="22"/>
      <c r="I72" s="24"/>
    </row>
    <row r="73" spans="1:9" s="25" customFormat="1" ht="16.899999999999999" customHeight="1" x14ac:dyDescent="0.2">
      <c r="A73" s="23"/>
      <c r="B73" s="112" t="s">
        <v>341</v>
      </c>
      <c r="C73" s="112"/>
      <c r="D73" s="112"/>
      <c r="E73" s="112"/>
      <c r="F73" s="112"/>
      <c r="G73" s="112"/>
      <c r="H73" s="22"/>
      <c r="I73" s="24"/>
    </row>
    <row r="74" spans="1:9" s="25" customFormat="1" ht="16.899999999999999" customHeight="1" x14ac:dyDescent="0.2">
      <c r="A74" s="23"/>
      <c r="B74" s="26"/>
      <c r="C74" s="27"/>
      <c r="D74" s="28"/>
      <c r="E74" s="28"/>
      <c r="F74" s="28"/>
      <c r="G74" s="29"/>
      <c r="H74" s="23"/>
      <c r="I74" s="24"/>
    </row>
    <row r="75" spans="1:9" s="25" customFormat="1" ht="16.899999999999999" customHeight="1" x14ac:dyDescent="0.2">
      <c r="A75" s="23"/>
      <c r="B75" s="26"/>
      <c r="C75" s="27"/>
      <c r="D75" s="28"/>
      <c r="E75" s="28"/>
      <c r="F75" s="28"/>
      <c r="G75" s="29"/>
      <c r="H75" s="23"/>
      <c r="I75" s="24"/>
    </row>
    <row r="76" spans="1:9" s="25" customFormat="1" ht="16.899999999999999" customHeight="1" x14ac:dyDescent="0.2">
      <c r="A76" s="23"/>
      <c r="B76" s="26"/>
      <c r="C76" s="27"/>
      <c r="D76" s="28"/>
      <c r="E76" s="28"/>
      <c r="F76" s="28"/>
      <c r="G76" s="29"/>
      <c r="H76" s="23"/>
      <c r="I76" s="24"/>
    </row>
    <row r="77" spans="1:9" s="25" customFormat="1" ht="16.899999999999999" customHeight="1" x14ac:dyDescent="0.2">
      <c r="A77" s="23"/>
      <c r="B77" s="26"/>
      <c r="C77" s="27"/>
      <c r="D77" s="28"/>
      <c r="E77" s="28"/>
      <c r="F77" s="28"/>
      <c r="G77" s="29"/>
      <c r="H77" s="23"/>
      <c r="I77" s="24"/>
    </row>
    <row r="78" spans="1:9" s="25" customFormat="1" ht="16.899999999999999" customHeight="1" x14ac:dyDescent="0.2">
      <c r="A78" s="23"/>
      <c r="B78" s="26"/>
      <c r="C78" s="27"/>
      <c r="D78" s="28"/>
      <c r="E78" s="28"/>
      <c r="F78" s="28"/>
      <c r="G78" s="29"/>
      <c r="H78" s="23"/>
      <c r="I78" s="24"/>
    </row>
    <row r="79" spans="1:9" s="25" customFormat="1" ht="16.899999999999999" customHeight="1" x14ac:dyDescent="0.2">
      <c r="A79" s="23"/>
      <c r="B79" s="26"/>
      <c r="C79" s="27"/>
      <c r="D79" s="28"/>
      <c r="E79" s="28"/>
      <c r="F79" s="28"/>
      <c r="G79" s="29"/>
      <c r="H79" s="23"/>
      <c r="I79" s="24"/>
    </row>
    <row r="80" spans="1:9" s="25" customFormat="1" ht="16.899999999999999" customHeight="1" x14ac:dyDescent="0.2">
      <c r="A80" s="23"/>
      <c r="B80" s="26"/>
      <c r="C80" s="27"/>
      <c r="D80" s="28"/>
      <c r="E80" s="28"/>
      <c r="F80" s="28"/>
      <c r="G80" s="29"/>
      <c r="H80" s="23"/>
      <c r="I80" s="24"/>
    </row>
    <row r="81" spans="1:9" s="25" customFormat="1" ht="16.899999999999999" customHeight="1" x14ac:dyDescent="0.2">
      <c r="A81" s="23"/>
      <c r="B81" s="26"/>
      <c r="C81" s="27"/>
      <c r="D81" s="28"/>
      <c r="E81" s="28"/>
      <c r="F81" s="28"/>
      <c r="G81" s="29"/>
      <c r="H81" s="23"/>
      <c r="I81" s="24"/>
    </row>
    <row r="82" spans="1:9" s="25" customFormat="1" ht="16.899999999999999" customHeight="1" x14ac:dyDescent="0.2">
      <c r="A82" s="23"/>
      <c r="B82" s="26"/>
      <c r="C82" s="27"/>
      <c r="D82" s="28"/>
      <c r="E82" s="28"/>
      <c r="F82" s="28"/>
      <c r="G82" s="29"/>
      <c r="H82" s="23"/>
      <c r="I82" s="24"/>
    </row>
    <row r="83" spans="1:9" s="25" customFormat="1" ht="16.899999999999999" customHeight="1" x14ac:dyDescent="0.2">
      <c r="A83" s="23"/>
      <c r="B83" s="26"/>
      <c r="C83" s="27"/>
      <c r="D83" s="28"/>
      <c r="E83" s="28"/>
      <c r="F83" s="28"/>
      <c r="G83" s="29"/>
      <c r="H83" s="23"/>
      <c r="I83" s="24"/>
    </row>
    <row r="84" spans="1:9" s="25" customFormat="1" ht="16.899999999999999" customHeight="1" x14ac:dyDescent="0.2">
      <c r="A84" s="23"/>
      <c r="B84" s="26"/>
      <c r="C84" s="27"/>
      <c r="D84" s="28"/>
      <c r="E84" s="28"/>
      <c r="F84" s="28"/>
      <c r="G84" s="29"/>
      <c r="H84" s="23"/>
      <c r="I84" s="24"/>
    </row>
    <row r="85" spans="1:9" s="25" customFormat="1" ht="16.899999999999999" customHeight="1" x14ac:dyDescent="0.2">
      <c r="A85" s="23"/>
      <c r="B85" s="26"/>
      <c r="C85" s="27"/>
      <c r="D85" s="28"/>
      <c r="E85" s="28"/>
      <c r="F85" s="28"/>
      <c r="G85" s="29"/>
      <c r="H85" s="23"/>
      <c r="I85" s="24"/>
    </row>
    <row r="86" spans="1:9" s="25" customFormat="1" ht="16.899999999999999" customHeight="1" x14ac:dyDescent="0.2">
      <c r="A86" s="23"/>
      <c r="B86" s="26"/>
      <c r="C86" s="27"/>
      <c r="D86" s="28"/>
      <c r="E86" s="28"/>
      <c r="F86" s="28"/>
      <c r="G86" s="29"/>
      <c r="H86" s="23"/>
      <c r="I86" s="24"/>
    </row>
    <row r="87" spans="1:9" s="25" customFormat="1" ht="16.899999999999999" customHeight="1" x14ac:dyDescent="0.2">
      <c r="A87" s="23"/>
      <c r="B87" s="26"/>
      <c r="C87" s="27"/>
      <c r="D87" s="28"/>
      <c r="E87" s="28"/>
      <c r="F87" s="28"/>
      <c r="G87" s="29"/>
      <c r="H87" s="23"/>
      <c r="I87" s="24"/>
    </row>
    <row r="88" spans="1:9" s="25" customFormat="1" ht="16.899999999999999" customHeight="1" x14ac:dyDescent="0.2">
      <c r="A88" s="23"/>
      <c r="B88" s="26"/>
      <c r="C88" s="27"/>
      <c r="D88" s="28"/>
      <c r="E88" s="28"/>
      <c r="F88" s="28"/>
      <c r="G88" s="29"/>
      <c r="H88" s="23"/>
      <c r="I88" s="24"/>
    </row>
    <row r="89" spans="1:9" s="25" customFormat="1" ht="16.899999999999999" customHeight="1" x14ac:dyDescent="0.2">
      <c r="A89" s="23"/>
      <c r="B89" s="26"/>
      <c r="C89" s="27"/>
      <c r="D89" s="28"/>
      <c r="E89" s="28"/>
      <c r="F89" s="28"/>
      <c r="G89" s="29"/>
      <c r="H89" s="23"/>
      <c r="I89" s="24"/>
    </row>
    <row r="90" spans="1:9" s="25" customFormat="1" ht="16.899999999999999" customHeight="1" x14ac:dyDescent="0.2">
      <c r="A90" s="23"/>
      <c r="B90" s="26"/>
      <c r="C90" s="27"/>
      <c r="D90" s="28"/>
      <c r="E90" s="28"/>
      <c r="F90" s="28"/>
      <c r="G90" s="29"/>
      <c r="H90" s="23"/>
      <c r="I90" s="24"/>
    </row>
    <row r="91" spans="1:9" s="25" customFormat="1" ht="16.899999999999999" customHeight="1" x14ac:dyDescent="0.2">
      <c r="A91" s="23"/>
      <c r="B91" s="26"/>
      <c r="C91" s="27"/>
      <c r="D91" s="28"/>
      <c r="E91" s="28"/>
      <c r="F91" s="28"/>
      <c r="G91" s="29"/>
      <c r="H91" s="23"/>
      <c r="I91" s="24"/>
    </row>
    <row r="92" spans="1:9" s="25" customFormat="1" ht="16.899999999999999" customHeight="1" x14ac:dyDescent="0.2">
      <c r="A92" s="23"/>
      <c r="B92" s="26"/>
      <c r="C92" s="27"/>
      <c r="D92" s="28"/>
      <c r="E92" s="28"/>
      <c r="F92" s="28"/>
      <c r="G92" s="29"/>
      <c r="H92" s="23"/>
      <c r="I92" s="24"/>
    </row>
    <row r="93" spans="1:9" s="25" customFormat="1" ht="16.899999999999999" customHeight="1" x14ac:dyDescent="0.2">
      <c r="A93" s="23"/>
      <c r="B93" s="26"/>
      <c r="C93" s="27"/>
      <c r="D93" s="28"/>
      <c r="E93" s="28"/>
      <c r="F93" s="28"/>
      <c r="G93" s="29"/>
      <c r="H93" s="23"/>
      <c r="I93" s="24"/>
    </row>
    <row r="94" spans="1:9" s="25" customFormat="1" ht="16.899999999999999" customHeight="1" x14ac:dyDescent="0.2">
      <c r="A94" s="23"/>
      <c r="B94" s="26"/>
      <c r="C94" s="27"/>
      <c r="D94" s="28"/>
      <c r="E94" s="28"/>
      <c r="F94" s="28"/>
      <c r="G94" s="29"/>
      <c r="H94" s="23"/>
      <c r="I94" s="24"/>
    </row>
    <row r="95" spans="1:9" s="25" customFormat="1" ht="16.899999999999999" customHeight="1" x14ac:dyDescent="0.2">
      <c r="A95" s="23"/>
      <c r="B95" s="26"/>
      <c r="C95" s="27"/>
      <c r="D95" s="28"/>
      <c r="E95" s="28"/>
      <c r="F95" s="28"/>
      <c r="G95" s="29"/>
      <c r="H95" s="23"/>
      <c r="I95" s="24"/>
    </row>
    <row r="96" spans="1:9" s="25" customFormat="1" ht="16.899999999999999" customHeight="1" x14ac:dyDescent="0.2">
      <c r="A96" s="23"/>
      <c r="B96" s="26"/>
      <c r="C96" s="27"/>
      <c r="D96" s="28"/>
      <c r="E96" s="28"/>
      <c r="F96" s="28"/>
      <c r="G96" s="29"/>
      <c r="H96" s="23"/>
      <c r="I96" s="24"/>
    </row>
    <row r="97" spans="1:9" s="25" customFormat="1" ht="16.899999999999999" customHeight="1" x14ac:dyDescent="0.2">
      <c r="A97" s="23"/>
      <c r="B97" s="26"/>
      <c r="C97" s="27"/>
      <c r="D97" s="28"/>
      <c r="E97" s="28"/>
      <c r="F97" s="28"/>
      <c r="G97" s="29"/>
      <c r="H97" s="23"/>
      <c r="I97" s="24"/>
    </row>
    <row r="98" spans="1:9" s="25" customFormat="1" ht="16.899999999999999" customHeight="1" x14ac:dyDescent="0.2">
      <c r="A98" s="23"/>
      <c r="B98" s="26"/>
      <c r="C98" s="27"/>
      <c r="D98" s="28"/>
      <c r="E98" s="28"/>
      <c r="F98" s="28"/>
      <c r="G98" s="29"/>
      <c r="H98" s="23"/>
      <c r="I98" s="24"/>
    </row>
    <row r="99" spans="1:9" s="25" customFormat="1" ht="16.899999999999999" customHeight="1" x14ac:dyDescent="0.2">
      <c r="A99" s="23"/>
      <c r="B99" s="26"/>
      <c r="C99" s="27"/>
      <c r="D99" s="28"/>
      <c r="E99" s="28"/>
      <c r="F99" s="28"/>
      <c r="G99" s="29"/>
      <c r="H99" s="23"/>
      <c r="I99" s="24"/>
    </row>
    <row r="100" spans="1:9" s="25" customFormat="1" ht="16.899999999999999" customHeight="1" x14ac:dyDescent="0.2">
      <c r="A100" s="23"/>
      <c r="B100" s="26"/>
      <c r="C100" s="27"/>
      <c r="D100" s="28"/>
      <c r="E100" s="28"/>
      <c r="F100" s="28"/>
      <c r="G100" s="29"/>
      <c r="H100" s="23"/>
      <c r="I100" s="24"/>
    </row>
    <row r="101" spans="1:9" s="25" customFormat="1" ht="16.899999999999999" customHeight="1" x14ac:dyDescent="0.2">
      <c r="A101" s="23"/>
      <c r="B101" s="26"/>
      <c r="C101" s="27"/>
      <c r="D101" s="28"/>
      <c r="E101" s="28"/>
      <c r="F101" s="28"/>
      <c r="G101" s="29"/>
      <c r="H101" s="23"/>
      <c r="I101" s="24"/>
    </row>
    <row r="102" spans="1:9" s="25" customFormat="1" ht="16.899999999999999" customHeight="1" x14ac:dyDescent="0.2">
      <c r="A102" s="23"/>
      <c r="B102" s="26"/>
      <c r="C102" s="27"/>
      <c r="D102" s="28"/>
      <c r="E102" s="28"/>
      <c r="F102" s="28"/>
      <c r="G102" s="29"/>
      <c r="H102" s="23"/>
      <c r="I102" s="24"/>
    </row>
    <row r="103" spans="1:9" s="25" customFormat="1" ht="16.899999999999999" customHeight="1" x14ac:dyDescent="0.2">
      <c r="A103" s="23"/>
      <c r="B103" s="26"/>
      <c r="C103" s="27"/>
      <c r="D103" s="28"/>
      <c r="E103" s="28"/>
      <c r="F103" s="28"/>
      <c r="G103" s="29"/>
      <c r="H103" s="23"/>
      <c r="I103" s="24"/>
    </row>
    <row r="104" spans="1:9" s="25" customFormat="1" ht="16.899999999999999" customHeight="1" x14ac:dyDescent="0.2">
      <c r="A104" s="23"/>
      <c r="B104" s="26"/>
      <c r="C104" s="27"/>
      <c r="D104" s="28"/>
      <c r="E104" s="28"/>
      <c r="F104" s="28"/>
      <c r="G104" s="29"/>
      <c r="H104" s="23"/>
      <c r="I104" s="24"/>
    </row>
    <row r="105" spans="1:9" s="25" customFormat="1" ht="16.899999999999999" customHeight="1" x14ac:dyDescent="0.2">
      <c r="A105" s="23"/>
      <c r="B105" s="26"/>
      <c r="C105" s="27"/>
      <c r="D105" s="28"/>
      <c r="E105" s="28"/>
      <c r="F105" s="28"/>
      <c r="G105" s="29"/>
      <c r="H105" s="23"/>
      <c r="I105" s="24"/>
    </row>
    <row r="106" spans="1:9" s="25" customFormat="1" ht="16.899999999999999" customHeight="1" x14ac:dyDescent="0.2">
      <c r="A106" s="23"/>
      <c r="B106" s="26"/>
      <c r="C106" s="27"/>
      <c r="D106" s="28"/>
      <c r="E106" s="28"/>
      <c r="F106" s="28"/>
      <c r="G106" s="29"/>
      <c r="H106" s="23"/>
      <c r="I106" s="24"/>
    </row>
    <row r="107" spans="1:9" s="25" customFormat="1" ht="16.899999999999999" customHeight="1" x14ac:dyDescent="0.2">
      <c r="A107" s="23"/>
      <c r="B107" s="26"/>
      <c r="C107" s="27"/>
      <c r="D107" s="28"/>
      <c r="E107" s="28"/>
      <c r="F107" s="28"/>
      <c r="G107" s="29"/>
      <c r="H107" s="23"/>
      <c r="I107" s="24"/>
    </row>
    <row r="108" spans="1:9" s="25" customFormat="1" ht="16.899999999999999" customHeight="1" x14ac:dyDescent="0.2">
      <c r="A108" s="23"/>
      <c r="B108" s="26"/>
      <c r="C108" s="27"/>
      <c r="D108" s="28"/>
      <c r="E108" s="28"/>
      <c r="F108" s="28"/>
      <c r="G108" s="29"/>
      <c r="H108" s="23"/>
      <c r="I108" s="24"/>
    </row>
    <row r="109" spans="1:9" s="25" customFormat="1" ht="16.899999999999999" customHeight="1" x14ac:dyDescent="0.2">
      <c r="A109" s="23"/>
      <c r="B109" s="26"/>
      <c r="C109" s="27"/>
      <c r="D109" s="28"/>
      <c r="E109" s="28"/>
      <c r="F109" s="28"/>
      <c r="G109" s="29"/>
      <c r="H109" s="23"/>
      <c r="I109" s="24"/>
    </row>
    <row r="110" spans="1:9" s="25" customFormat="1" ht="16.899999999999999" customHeight="1" x14ac:dyDescent="0.2">
      <c r="A110" s="23"/>
      <c r="B110" s="26"/>
      <c r="C110" s="27"/>
      <c r="D110" s="28"/>
      <c r="E110" s="28"/>
      <c r="F110" s="28"/>
      <c r="G110" s="29"/>
      <c r="H110" s="23"/>
      <c r="I110" s="24"/>
    </row>
    <row r="111" spans="1:9" s="25" customFormat="1" ht="16.899999999999999" customHeight="1" x14ac:dyDescent="0.2">
      <c r="A111" s="23"/>
      <c r="B111" s="26"/>
      <c r="C111" s="27"/>
      <c r="D111" s="28"/>
      <c r="E111" s="28"/>
      <c r="F111" s="28"/>
      <c r="G111" s="29"/>
      <c r="H111" s="23"/>
      <c r="I111" s="24"/>
    </row>
    <row r="112" spans="1:9" s="25" customFormat="1" ht="16.899999999999999" customHeight="1" x14ac:dyDescent="0.2">
      <c r="A112" s="23"/>
      <c r="B112" s="26"/>
      <c r="C112" s="27"/>
      <c r="D112" s="28"/>
      <c r="E112" s="28"/>
      <c r="F112" s="28"/>
      <c r="G112" s="29"/>
      <c r="H112" s="23"/>
      <c r="I112" s="24"/>
    </row>
    <row r="113" spans="1:13" s="25" customFormat="1" ht="16.899999999999999" customHeight="1" x14ac:dyDescent="0.2">
      <c r="A113" s="23"/>
      <c r="B113" s="26"/>
      <c r="C113" s="27"/>
      <c r="D113" s="28"/>
      <c r="E113" s="28"/>
      <c r="F113" s="28"/>
      <c r="G113" s="29"/>
      <c r="H113" s="23"/>
      <c r="I113" s="24"/>
      <c r="L113" s="16"/>
      <c r="M113" s="16"/>
    </row>
  </sheetData>
  <sortState ref="B8:G33">
    <sortCondition ref="C8:C33"/>
  </sortState>
  <mergeCells count="9">
    <mergeCell ref="B73:G73"/>
    <mergeCell ref="B2:G2"/>
    <mergeCell ref="B4:G4"/>
    <mergeCell ref="B66:G66"/>
    <mergeCell ref="B67:G67"/>
    <mergeCell ref="B68:H68"/>
    <mergeCell ref="B70:F70"/>
    <mergeCell ref="B72:G72"/>
    <mergeCell ref="B3:G3"/>
  </mergeCells>
  <printOptions horizontalCentered="1"/>
  <pageMargins left="0.39370078740157483" right="0.39370078740157483" top="1.3779527559055118" bottom="0.39370078740157483" header="0.39370078740157483" footer="0"/>
  <pageSetup paperSize="9" scale="81" orientation="portrait" horizontalDpi="1200" verticalDpi="1200" r:id="rId1"/>
  <headerFooter alignWithMargins="0">
    <oddHeader>&amp;R&amp;"Arial,Negrito"&amp;18Anexo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"/>
  <sheetViews>
    <sheetView workbookViewId="0">
      <selection activeCell="B3" sqref="B3:E5"/>
    </sheetView>
  </sheetViews>
  <sheetFormatPr defaultRowHeight="12.75" x14ac:dyDescent="0.2"/>
  <cols>
    <col min="2" max="2" width="12.42578125" bestFit="1" customWidth="1"/>
    <col min="3" max="3" width="7.7109375" bestFit="1" customWidth="1"/>
  </cols>
  <sheetData>
    <row r="1" spans="2:6" x14ac:dyDescent="0.2">
      <c r="B1" t="s">
        <v>381</v>
      </c>
    </row>
    <row r="3" spans="2:6" x14ac:dyDescent="0.2">
      <c r="B3" s="107" t="s">
        <v>380</v>
      </c>
      <c r="C3" s="108">
        <v>2016</v>
      </c>
      <c r="D3" s="108">
        <v>2017</v>
      </c>
      <c r="E3" s="108">
        <v>2018</v>
      </c>
    </row>
    <row r="4" spans="2:6" ht="15" x14ac:dyDescent="0.2">
      <c r="B4" s="104" t="s">
        <v>378</v>
      </c>
      <c r="C4" s="107"/>
      <c r="D4" s="106">
        <v>6.5799999999999997E-2</v>
      </c>
      <c r="E4" s="106">
        <v>6.5000000000000002E-2</v>
      </c>
    </row>
    <row r="5" spans="2:6" ht="15" x14ac:dyDescent="0.2">
      <c r="B5" s="104" t="s">
        <v>379</v>
      </c>
      <c r="C5" s="105">
        <v>150</v>
      </c>
      <c r="D5" s="105">
        <f>ROUNDUP(C5*(1+D4),0)</f>
        <v>160</v>
      </c>
      <c r="E5" s="105">
        <f>ROUNDUP(D5*(1+E4),0)</f>
        <v>171</v>
      </c>
      <c r="F5" s="110"/>
    </row>
    <row r="6" spans="2:6" x14ac:dyDescent="0.2">
      <c r="D6" s="109"/>
    </row>
    <row r="7" spans="2:6" x14ac:dyDescent="0.2">
      <c r="D7" s="10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5" sqref="D5"/>
    </sheetView>
  </sheetViews>
  <sheetFormatPr defaultRowHeight="12.75" x14ac:dyDescent="0.2"/>
  <cols>
    <col min="1" max="3" width="21.42578125" customWidth="1"/>
    <col min="4" max="4" width="17" customWidth="1"/>
  </cols>
  <sheetData>
    <row r="1" spans="1:4" ht="43.5" thickBot="1" x14ac:dyDescent="0.25">
      <c r="A1" s="96"/>
      <c r="B1" s="97" t="s">
        <v>342</v>
      </c>
      <c r="C1" s="97" t="s">
        <v>343</v>
      </c>
      <c r="D1" s="97" t="s">
        <v>344</v>
      </c>
    </row>
    <row r="2" spans="1:4" ht="29.25" thickBot="1" x14ac:dyDescent="0.25">
      <c r="A2" s="98" t="s">
        <v>345</v>
      </c>
      <c r="B2" s="99">
        <v>320</v>
      </c>
      <c r="C2" s="99">
        <v>290</v>
      </c>
      <c r="D2" s="99">
        <v>270</v>
      </c>
    </row>
    <row r="3" spans="1:4" ht="43.5" thickBot="1" x14ac:dyDescent="0.25">
      <c r="A3" s="98" t="s">
        <v>346</v>
      </c>
      <c r="B3" s="99">
        <v>290</v>
      </c>
      <c r="C3" s="99">
        <v>260</v>
      </c>
      <c r="D3" s="99">
        <v>250</v>
      </c>
    </row>
    <row r="4" spans="1:4" ht="29.25" thickBot="1" x14ac:dyDescent="0.25">
      <c r="A4" s="98" t="s">
        <v>347</v>
      </c>
      <c r="B4" s="99">
        <v>290</v>
      </c>
      <c r="C4" s="99">
        <v>290</v>
      </c>
      <c r="D4" s="103">
        <v>290</v>
      </c>
    </row>
    <row r="6" spans="1:4" ht="15" x14ac:dyDescent="0.2">
      <c r="A6" s="100" t="s">
        <v>348</v>
      </c>
    </row>
    <row r="7" spans="1:4" ht="15" x14ac:dyDescent="0.2">
      <c r="A7" s="100"/>
    </row>
    <row r="8" spans="1:4" ht="15" x14ac:dyDescent="0.2">
      <c r="A8" s="101" t="s">
        <v>349</v>
      </c>
    </row>
    <row r="9" spans="1:4" ht="15" x14ac:dyDescent="0.2">
      <c r="A9" s="101" t="s">
        <v>350</v>
      </c>
    </row>
    <row r="10" spans="1:4" ht="15" x14ac:dyDescent="0.2">
      <c r="A10" s="101" t="s">
        <v>351</v>
      </c>
    </row>
    <row r="11" spans="1:4" ht="15.75" thickBot="1" x14ac:dyDescent="0.25">
      <c r="A11" s="100"/>
    </row>
    <row r="12" spans="1:4" ht="43.5" thickBot="1" x14ac:dyDescent="0.25">
      <c r="A12" s="96"/>
      <c r="B12" s="97" t="s">
        <v>342</v>
      </c>
      <c r="C12" s="97" t="s">
        <v>343</v>
      </c>
      <c r="D12" s="97" t="s">
        <v>344</v>
      </c>
    </row>
    <row r="13" spans="1:4" ht="29.25" thickBot="1" x14ac:dyDescent="0.25">
      <c r="A13" s="98" t="s">
        <v>345</v>
      </c>
      <c r="B13" s="99" t="s">
        <v>352</v>
      </c>
      <c r="C13" s="99" t="s">
        <v>353</v>
      </c>
      <c r="D13" s="99" t="s">
        <v>354</v>
      </c>
    </row>
    <row r="14" spans="1:4" ht="43.5" thickBot="1" x14ac:dyDescent="0.25">
      <c r="A14" s="98" t="s">
        <v>346</v>
      </c>
      <c r="B14" s="99" t="s">
        <v>353</v>
      </c>
      <c r="C14" s="99" t="s">
        <v>355</v>
      </c>
      <c r="D14" s="99" t="s">
        <v>356</v>
      </c>
    </row>
    <row r="15" spans="1:4" ht="29.25" thickBot="1" x14ac:dyDescent="0.25">
      <c r="A15" s="98" t="s">
        <v>347</v>
      </c>
      <c r="B15" s="99" t="s">
        <v>353</v>
      </c>
      <c r="C15" s="99" t="s">
        <v>353</v>
      </c>
      <c r="D15" s="99" t="s">
        <v>354</v>
      </c>
    </row>
    <row r="16" spans="1:4" ht="15" x14ac:dyDescent="0.2">
      <c r="A16" s="100"/>
    </row>
    <row r="17" spans="1:1" ht="15" x14ac:dyDescent="0.2">
      <c r="A17" s="101" t="s">
        <v>357</v>
      </c>
    </row>
    <row r="18" spans="1:1" ht="15" x14ac:dyDescent="0.2">
      <c r="A18" s="101" t="s">
        <v>358</v>
      </c>
    </row>
    <row r="19" spans="1:1" ht="15" x14ac:dyDescent="0.2">
      <c r="A19" s="101" t="s">
        <v>359</v>
      </c>
    </row>
    <row r="20" spans="1:1" ht="15" x14ac:dyDescent="0.2">
      <c r="A20" s="101" t="s">
        <v>360</v>
      </c>
    </row>
    <row r="21" spans="1:1" ht="15" x14ac:dyDescent="0.2">
      <c r="A21" s="101" t="s">
        <v>361</v>
      </c>
    </row>
    <row r="22" spans="1:1" ht="15" x14ac:dyDescent="0.2">
      <c r="A22" s="101" t="s">
        <v>362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AE100"/>
  <sheetViews>
    <sheetView showGridLines="0" zoomScaleNormal="100" workbookViewId="0">
      <pane ySplit="7" topLeftCell="A8" activePane="bottomLeft" state="frozen"/>
      <selection pane="bottomLeft" activeCell="M4" sqref="M4"/>
    </sheetView>
  </sheetViews>
  <sheetFormatPr defaultColWidth="9.140625" defaultRowHeight="12.75" x14ac:dyDescent="0.2"/>
  <cols>
    <col min="1" max="1" width="1.140625" style="16" customWidth="1"/>
    <col min="2" max="2" width="6.42578125" style="16" customWidth="1"/>
    <col min="3" max="3" width="73" style="16" customWidth="1"/>
    <col min="4" max="7" width="11.5703125" style="16" customWidth="1"/>
    <col min="8" max="8" width="1" style="16" customWidth="1"/>
    <col min="9" max="10" width="11.5703125" customWidth="1"/>
    <col min="11" max="11" width="11.5703125" style="16" customWidth="1"/>
    <col min="12" max="12" width="12" style="16" customWidth="1"/>
    <col min="13" max="13" width="12" customWidth="1"/>
    <col min="14" max="18" width="9.140625" style="16"/>
    <col min="19" max="19" width="13.28515625" style="16" bestFit="1" customWidth="1"/>
    <col min="20" max="20" width="9.140625" style="16"/>
    <col min="21" max="22" width="13.28515625" style="16" bestFit="1" customWidth="1"/>
    <col min="23" max="24" width="9.140625" style="16"/>
    <col min="25" max="25" width="13.28515625" style="16" bestFit="1" customWidth="1"/>
    <col min="26" max="16384" width="9.140625" style="16"/>
  </cols>
  <sheetData>
    <row r="1" spans="1:31" x14ac:dyDescent="0.2">
      <c r="A1" s="1"/>
      <c r="B1" s="2"/>
      <c r="C1" s="3"/>
      <c r="D1" s="4"/>
      <c r="E1" s="4"/>
      <c r="F1" s="4"/>
      <c r="G1" s="4"/>
      <c r="H1" s="1"/>
    </row>
    <row r="2" spans="1:31" ht="15.75" customHeight="1" x14ac:dyDescent="0.2">
      <c r="A2" s="5"/>
      <c r="B2" s="111" t="s">
        <v>0</v>
      </c>
      <c r="C2" s="112"/>
      <c r="D2" s="112"/>
      <c r="E2" s="112"/>
      <c r="F2" s="112"/>
      <c r="G2" s="112"/>
      <c r="H2" s="5"/>
      <c r="I2" s="118" t="s">
        <v>336</v>
      </c>
      <c r="J2" s="118"/>
      <c r="K2" s="40"/>
    </row>
    <row r="3" spans="1:31" ht="3.75" customHeight="1" x14ac:dyDescent="0.2">
      <c r="A3" s="6"/>
      <c r="B3" s="7"/>
      <c r="C3" s="8"/>
      <c r="D3" s="9"/>
      <c r="E3" s="9"/>
      <c r="F3" s="9"/>
      <c r="G3" s="10"/>
      <c r="H3" s="6"/>
      <c r="J3" s="41"/>
      <c r="K3" s="25"/>
    </row>
    <row r="4" spans="1:31" s="18" customFormat="1" ht="32.25" customHeight="1" x14ac:dyDescent="0.2">
      <c r="A4" s="6"/>
      <c r="B4" s="121" t="s">
        <v>324</v>
      </c>
      <c r="C4" s="121"/>
      <c r="D4" s="51"/>
      <c r="E4" s="51"/>
      <c r="F4" s="48" t="s">
        <v>29</v>
      </c>
      <c r="G4" s="53">
        <v>1.4999999999999999E-2</v>
      </c>
      <c r="H4" s="6"/>
      <c r="I4" s="119" t="s">
        <v>337</v>
      </c>
      <c r="J4" s="120"/>
      <c r="K4" s="50">
        <v>6.5000000000000002E-2</v>
      </c>
      <c r="L4" s="48" t="s">
        <v>29</v>
      </c>
      <c r="M4" s="53">
        <v>1.4999999999999999E-2</v>
      </c>
      <c r="O4" s="56"/>
      <c r="P4" s="56"/>
      <c r="R4" s="55"/>
      <c r="S4" s="55"/>
      <c r="T4" s="55"/>
      <c r="U4" s="55"/>
      <c r="V4" s="55"/>
    </row>
    <row r="5" spans="1:31" s="18" customFormat="1" ht="32.25" customHeight="1" x14ac:dyDescent="0.2">
      <c r="A5" s="6"/>
      <c r="D5" s="51"/>
      <c r="E5" s="51"/>
      <c r="F5" s="48"/>
      <c r="G5" s="56"/>
      <c r="H5" s="6"/>
      <c r="I5" s="83"/>
      <c r="J5" s="83"/>
      <c r="K5" s="84"/>
      <c r="L5" s="48"/>
      <c r="M5" s="56"/>
      <c r="O5" s="56"/>
      <c r="P5" s="56"/>
      <c r="R5" s="55"/>
      <c r="S5" s="55"/>
      <c r="T5" s="55"/>
      <c r="U5" s="55"/>
      <c r="V5" s="55"/>
    </row>
    <row r="6" spans="1:31" ht="7.9" customHeight="1" x14ac:dyDescent="0.2">
      <c r="A6" s="6"/>
      <c r="B6" s="7"/>
      <c r="C6" s="8"/>
      <c r="D6" s="9"/>
      <c r="E6" s="9"/>
      <c r="F6" s="9"/>
      <c r="G6" s="10"/>
      <c r="H6" s="6"/>
      <c r="K6"/>
      <c r="R6" s="55"/>
      <c r="S6" s="55"/>
      <c r="T6" s="55"/>
      <c r="U6" s="55"/>
      <c r="V6" s="55"/>
    </row>
    <row r="7" spans="1:31" ht="51.75" customHeight="1" x14ac:dyDescent="0.2">
      <c r="A7" s="12"/>
      <c r="B7" s="37" t="s">
        <v>1</v>
      </c>
      <c r="C7" s="38" t="s">
        <v>2</v>
      </c>
      <c r="D7" s="39" t="s">
        <v>3</v>
      </c>
      <c r="E7" s="39" t="s">
        <v>6</v>
      </c>
      <c r="F7" s="39" t="s">
        <v>4</v>
      </c>
      <c r="G7" s="39" t="s">
        <v>5</v>
      </c>
      <c r="H7" s="12"/>
      <c r="I7" s="42" t="s">
        <v>3</v>
      </c>
      <c r="J7" s="42" t="s">
        <v>15</v>
      </c>
      <c r="K7" s="42" t="s">
        <v>4</v>
      </c>
      <c r="L7" s="42" t="s">
        <v>5</v>
      </c>
      <c r="M7" s="89"/>
      <c r="N7" s="89" t="s">
        <v>327</v>
      </c>
      <c r="O7" s="89" t="s">
        <v>328</v>
      </c>
      <c r="P7" s="89" t="s">
        <v>329</v>
      </c>
      <c r="Q7" s="89" t="s">
        <v>330</v>
      </c>
      <c r="R7" s="89"/>
      <c r="S7" s="90" t="s">
        <v>331</v>
      </c>
      <c r="T7"/>
      <c r="U7"/>
      <c r="V7"/>
      <c r="W7" s="90" t="s">
        <v>332</v>
      </c>
    </row>
    <row r="8" spans="1:31" customFormat="1" ht="5.25" customHeight="1" x14ac:dyDescent="0.2">
      <c r="A8" s="13"/>
      <c r="B8" s="14"/>
      <c r="C8" s="15"/>
      <c r="D8" s="33"/>
      <c r="E8" s="33"/>
      <c r="F8" s="33"/>
      <c r="G8" s="33"/>
      <c r="H8" s="13"/>
    </row>
    <row r="9" spans="1:31" customFormat="1" ht="13.5" customHeight="1" x14ac:dyDescent="0.2">
      <c r="A9" s="13"/>
      <c r="B9" s="85"/>
      <c r="C9" s="86" t="s">
        <v>325</v>
      </c>
      <c r="D9" s="87"/>
      <c r="E9" s="87"/>
      <c r="F9" s="87"/>
      <c r="G9" s="87"/>
      <c r="H9" s="13"/>
      <c r="I9" s="88"/>
      <c r="J9" s="88"/>
      <c r="K9" s="88"/>
      <c r="L9" s="88"/>
      <c r="M9" s="88"/>
      <c r="N9" s="95">
        <f>SUM(N10:N38)</f>
        <v>0</v>
      </c>
      <c r="O9" s="88"/>
      <c r="P9" s="88"/>
      <c r="Q9" s="88"/>
      <c r="S9" s="88"/>
      <c r="T9" s="88"/>
      <c r="U9" s="88"/>
      <c r="V9" s="88"/>
      <c r="W9" s="88"/>
      <c r="X9" s="88"/>
      <c r="Y9" s="88"/>
    </row>
    <row r="10" spans="1:31" s="25" customFormat="1" ht="12.75" customHeight="1" x14ac:dyDescent="0.2">
      <c r="A10" s="23"/>
      <c r="B10" s="34">
        <v>20818</v>
      </c>
      <c r="C10" s="32" t="s">
        <v>14</v>
      </c>
      <c r="D10" s="35">
        <f>F10/(1-$G$4)</f>
        <v>303.5532994923858</v>
      </c>
      <c r="E10" s="35">
        <f>D10*$G$4</f>
        <v>4.5532994923857872</v>
      </c>
      <c r="F10" s="35">
        <f>'[30]Preços 2017 - Região ABC e GRU'!$F$8</f>
        <v>299</v>
      </c>
      <c r="G10" s="82">
        <f>'[30]Preços 2017 - Região ABC e GRU'!$G$8</f>
        <v>18</v>
      </c>
      <c r="H10" s="23"/>
      <c r="I10" s="43">
        <f t="shared" ref="I10:I17" si="0">K10/(1-$M$4)</f>
        <v>323.85786802030458</v>
      </c>
      <c r="J10" s="43">
        <f t="shared" ref="J10:J17" si="1">I10*$M$4</f>
        <v>4.8578680203045685</v>
      </c>
      <c r="K10" s="43">
        <f>IFERROR(ROUNDUP(F10+(F10*$K$4),0),0)</f>
        <v>319</v>
      </c>
      <c r="L10" s="91">
        <f>G10</f>
        <v>18</v>
      </c>
      <c r="M10"/>
      <c r="N10" s="92">
        <f>I10-J10-K10</f>
        <v>0</v>
      </c>
      <c r="O10" s="57">
        <f>J10/I10</f>
        <v>1.4999999999999999E-2</v>
      </c>
      <c r="P10" s="57">
        <f>I10/D10-1</f>
        <v>6.6889632107023367E-2</v>
      </c>
      <c r="Q10" s="57">
        <f>K10/F10-1</f>
        <v>6.6889632107023367E-2</v>
      </c>
      <c r="S10" s="25" t="str">
        <f>B10&amp;C10&amp;D10&amp;E10&amp;F10&amp;G10</f>
        <v>20818Aconselhamento Pastoral303,5532994923864,5532994923857929918</v>
      </c>
      <c r="T10" s="25" t="str">
        <f>'[30]Preços 2017 - Região ABC e GRU'!$B$8&amp;'[30]Preços 2017 - Região ABC e GRU'!$C$8&amp;'[30]Preços 2017 - Região ABC e GRU'!$D$8&amp;'[30]Preços 2017 - Região ABC e GRU'!$E$8&amp;'[30]Preços 2017 - Região ABC e GRU'!$F$8&amp;'[30]Preços 2017 - Região ABC e GRU'!$G$8</f>
        <v>20818Aconselhamento Pastoral303,5532994923864,5532994923857929918</v>
      </c>
      <c r="U10" s="25" t="b">
        <f>S10=T10</f>
        <v>1</v>
      </c>
      <c r="W10" s="25" t="str">
        <f>B10&amp;C10&amp;I10&amp;J10&amp;K10&amp;L10</f>
        <v>20818Aconselhamento Pastoral323,8578680203054,8578680203045731918</v>
      </c>
      <c r="X10" s="25" t="str">
        <f>'Preços 2018 - Região ABC e GRU'!B8&amp;'Preços 2018 - Região ABC e GRU'!C8&amp;'Preços 2018 - Região ABC e GRU'!D8&amp;'Preços 2018 - Região ABC e GRU'!E8&amp;'Preços 2018 - Região ABC e GRU'!F8&amp;'Preços 2018 - Região ABC e GRU'!G8</f>
        <v>20818Aconselhamento Pastoral294,4162436548224,4162436548223329018</v>
      </c>
      <c r="Y10" s="25" t="b">
        <f>W10=X10</f>
        <v>0</v>
      </c>
    </row>
    <row r="11" spans="1:31" s="31" customFormat="1" ht="12.75" customHeight="1" x14ac:dyDescent="0.2">
      <c r="A11" s="30"/>
      <c r="B11" s="34">
        <v>20821</v>
      </c>
      <c r="C11" s="32" t="s">
        <v>45</v>
      </c>
      <c r="D11" s="35">
        <f t="shared" ref="D11:D18" si="2">F11/(1-$G$4)</f>
        <v>275.12690355329948</v>
      </c>
      <c r="E11" s="35">
        <f t="shared" ref="E11:E37" si="3">D11*$G$4</f>
        <v>4.126903553299492</v>
      </c>
      <c r="F11" s="35">
        <f>'[30]Preços 2017 - Região ABC e GRU'!$F$9</f>
        <v>271</v>
      </c>
      <c r="G11" s="82">
        <f>'[30]Preços 2017 - Região ABC e GRU'!$G$9</f>
        <v>18</v>
      </c>
      <c r="H11" s="30"/>
      <c r="I11" s="43">
        <f t="shared" si="0"/>
        <v>293.40101522842639</v>
      </c>
      <c r="J11" s="43">
        <f t="shared" si="1"/>
        <v>4.4010152284263953</v>
      </c>
      <c r="K11" s="43">
        <f t="shared" ref="K11:K38" si="4">IFERROR(ROUNDUP(F11+(F11*$K$4),0),0)</f>
        <v>289</v>
      </c>
      <c r="L11" s="91">
        <f t="shared" ref="L11:L38" si="5">G11</f>
        <v>18</v>
      </c>
      <c r="M11"/>
      <c r="N11" s="92">
        <f t="shared" ref="N11:N38" si="6">I11-J11-K11</f>
        <v>0</v>
      </c>
      <c r="O11" s="57">
        <f t="shared" ref="O11:O38" si="7">J11/I11</f>
        <v>1.4999999999999998E-2</v>
      </c>
      <c r="P11" s="57">
        <f t="shared" ref="P11:P38" si="8">I11/D11-1</f>
        <v>6.6420664206642055E-2</v>
      </c>
      <c r="Q11" s="57">
        <f t="shared" ref="Q11:Q38" si="9">K11/F11-1</f>
        <v>6.6420664206642055E-2</v>
      </c>
      <c r="R11" s="25"/>
      <c r="S11" s="25" t="str">
        <f t="shared" ref="S11:S38" si="10">B11&amp;C11&amp;D11&amp;E11&amp;F11&amp;G11</f>
        <v>20821Administração da Produção e Operações275,1269035532994,1269035532994927118</v>
      </c>
      <c r="T11" s="25" t="str">
        <f>'[30]Preços 2017 - Região ABC e GRU'!$B$9&amp;'[30]Preços 2017 - Região ABC e GRU'!$C$9&amp;'[30]Preços 2017 - Região ABC e GRU'!$D$9&amp;'[30]Preços 2017 - Região ABC e GRU'!$E$9&amp;'[30]Preços 2017 - Região ABC e GRU'!$F$9&amp;'[30]Preços 2017 - Região ABC e GRU'!$G$9</f>
        <v>20821Administração da Produção e Operações275,1269035532994,1269035532994927118</v>
      </c>
      <c r="U11" s="25" t="b">
        <f t="shared" ref="U11:U38" si="11">S11=T11</f>
        <v>1</v>
      </c>
      <c r="V11" s="25"/>
      <c r="W11" s="25" t="str">
        <f t="shared" ref="W11:W38" si="12">B11&amp;C11&amp;I11&amp;J11&amp;K11&amp;L11</f>
        <v>20821Administração da Produção e Operações293,4010152284264,401015228426428918</v>
      </c>
      <c r="X11" s="25" t="str">
        <f>'Preços 2018 - Região ABC e GRU'!B9&amp;'Preços 2018 - Região ABC e GRU'!C9&amp;'Preços 2018 - Região ABC e GRU'!D9&amp;'Preços 2018 - Região ABC e GRU'!E9&amp;'Preços 2018 - Região ABC e GRU'!F9&amp;'Preços 2018 - Região ABC e GRU'!G9</f>
        <v>20821Administração da Produção e Operações294,4162436548224,4162436548223329018</v>
      </c>
      <c r="Y11" s="25" t="b">
        <f t="shared" ref="Y11:Y38" si="13">W11=X11</f>
        <v>0</v>
      </c>
      <c r="AE11" s="25"/>
    </row>
    <row r="12" spans="1:31" s="31" customFormat="1" ht="12.75" customHeight="1" x14ac:dyDescent="0.2">
      <c r="A12" s="30"/>
      <c r="B12" s="34">
        <v>20575</v>
      </c>
      <c r="C12" s="32" t="s">
        <v>30</v>
      </c>
      <c r="D12" s="35">
        <f t="shared" si="2"/>
        <v>293.40101522842639</v>
      </c>
      <c r="E12" s="35">
        <f t="shared" si="3"/>
        <v>4.4010152284263953</v>
      </c>
      <c r="F12" s="35">
        <f>'[30]Preços 2017 - Região ABC e GRU'!$F$10</f>
        <v>289</v>
      </c>
      <c r="G12" s="82">
        <f>'[30]Preços 2017 - Região ABC e GRU'!$G$10</f>
        <v>18</v>
      </c>
      <c r="H12" s="30"/>
      <c r="I12" s="43">
        <f t="shared" si="0"/>
        <v>312.69035532994923</v>
      </c>
      <c r="J12" s="43">
        <f t="shared" si="1"/>
        <v>4.690355329949238</v>
      </c>
      <c r="K12" s="43">
        <f t="shared" si="4"/>
        <v>308</v>
      </c>
      <c r="L12" s="91">
        <f t="shared" si="5"/>
        <v>18</v>
      </c>
      <c r="M12"/>
      <c r="N12" s="92">
        <f t="shared" si="6"/>
        <v>0</v>
      </c>
      <c r="O12" s="57">
        <f t="shared" si="7"/>
        <v>1.4999999999999999E-2</v>
      </c>
      <c r="P12" s="57">
        <f t="shared" si="8"/>
        <v>6.5743944636678098E-2</v>
      </c>
      <c r="Q12" s="57">
        <f t="shared" si="9"/>
        <v>6.5743944636678098E-2</v>
      </c>
      <c r="R12" s="25"/>
      <c r="S12" s="25" t="str">
        <f t="shared" si="10"/>
        <v>20575Comunicação Empresarial293,4010152284264,401015228426428918</v>
      </c>
      <c r="T12" s="25" t="str">
        <f>'[30]Preços 2017 - Região ABC e GRU'!$B$10&amp;'[30]Preços 2017 - Região ABC e GRU'!$C$10&amp;'[30]Preços 2017 - Região ABC e GRU'!$D$10&amp;'[30]Preços 2017 - Região ABC e GRU'!$E$10&amp;'[30]Preços 2017 - Região ABC e GRU'!$F$10&amp;'[30]Preços 2017 - Região ABC e GRU'!$G$10</f>
        <v>20575Comunicação Empresarial293,4010152284264,401015228426428918</v>
      </c>
      <c r="U12" s="25" t="b">
        <f t="shared" si="11"/>
        <v>1</v>
      </c>
      <c r="V12" s="25"/>
      <c r="W12" s="25" t="str">
        <f t="shared" si="12"/>
        <v>20575Comunicação Empresarial312,6903553299494,6903553299492430818</v>
      </c>
      <c r="X12" s="25" t="str">
        <f>'Preços 2018 - Região ABC e GRU'!B10&amp;'Preços 2018 - Região ABC e GRU'!C10&amp;'Preços 2018 - Região ABC e GRU'!D10&amp;'Preços 2018 - Região ABC e GRU'!E10&amp;'Preços 2018 - Região ABC e GRU'!F10&amp;'Preços 2018 - Região ABC e GRU'!G10</f>
        <v>20575Comunicação Empresarial294,4162436548224,4162436548223329018</v>
      </c>
      <c r="Y12" s="25" t="b">
        <f t="shared" si="13"/>
        <v>0</v>
      </c>
      <c r="AE12" s="25"/>
    </row>
    <row r="13" spans="1:31" s="31" customFormat="1" ht="12.75" customHeight="1" x14ac:dyDescent="0.2">
      <c r="A13" s="30"/>
      <c r="B13" s="34">
        <v>20019</v>
      </c>
      <c r="C13" s="32" t="s">
        <v>12</v>
      </c>
      <c r="D13" s="35">
        <f t="shared" si="2"/>
        <v>300.507614213198</v>
      </c>
      <c r="E13" s="35">
        <f t="shared" si="3"/>
        <v>4.5076142131979697</v>
      </c>
      <c r="F13" s="35">
        <f>'[30]Preços 2017 - Região ABC e GRU'!$F$11</f>
        <v>296</v>
      </c>
      <c r="G13" s="82">
        <f>'[30]Preços 2017 - Região ABC e GRU'!$G$11</f>
        <v>18</v>
      </c>
      <c r="H13" s="30"/>
      <c r="I13" s="43">
        <f t="shared" si="0"/>
        <v>320.81218274111677</v>
      </c>
      <c r="J13" s="43">
        <f t="shared" si="1"/>
        <v>4.812182741116751</v>
      </c>
      <c r="K13" s="43">
        <f t="shared" si="4"/>
        <v>316</v>
      </c>
      <c r="L13" s="91">
        <f t="shared" si="5"/>
        <v>18</v>
      </c>
      <c r="M13"/>
      <c r="N13" s="92">
        <f t="shared" si="6"/>
        <v>0</v>
      </c>
      <c r="O13" s="57">
        <f t="shared" si="7"/>
        <v>1.4999999999999998E-2</v>
      </c>
      <c r="P13" s="57">
        <f t="shared" si="8"/>
        <v>6.7567567567567544E-2</v>
      </c>
      <c r="Q13" s="57">
        <f t="shared" si="9"/>
        <v>6.7567567567567544E-2</v>
      </c>
      <c r="R13" s="25"/>
      <c r="S13" s="25" t="str">
        <f t="shared" si="10"/>
        <v>20019Controladoria e Finanças300,5076142131984,5076142131979729618</v>
      </c>
      <c r="T13" s="25" t="str">
        <f>'[30]Preços 2017 - Região ABC e GRU'!$B$11&amp;'[30]Preços 2017 - Região ABC e GRU'!$C$11&amp;'[30]Preços 2017 - Região ABC e GRU'!$D$11&amp;'[30]Preços 2017 - Região ABC e GRU'!$E$11&amp;'[30]Preços 2017 - Região ABC e GRU'!$F$11&amp;'[30]Preços 2017 - Região ABC e GRU'!$G$11</f>
        <v>20019Controladoria e Finanças300,5076142131984,5076142131979729618</v>
      </c>
      <c r="U13" s="25" t="b">
        <f t="shared" si="11"/>
        <v>1</v>
      </c>
      <c r="V13" s="25"/>
      <c r="W13" s="25" t="str">
        <f t="shared" si="12"/>
        <v>20019Controladoria e Finanças320,8121827411174,8121827411167531618</v>
      </c>
      <c r="X13" s="25" t="str">
        <f>'Preços 2018 - Região ABC e GRU'!B11&amp;'Preços 2018 - Região ABC e GRU'!C11&amp;'Preços 2018 - Região ABC e GRU'!D11&amp;'Preços 2018 - Região ABC e GRU'!E11&amp;'Preços 2018 - Região ABC e GRU'!F11&amp;'Preços 2018 - Região ABC e GRU'!G11</f>
        <v>20019Controladoria e Finanças294,4162436548224,4162436548223329018</v>
      </c>
      <c r="Y13" s="25" t="b">
        <f t="shared" si="13"/>
        <v>0</v>
      </c>
      <c r="AE13" s="25"/>
    </row>
    <row r="14" spans="1:31" s="31" customFormat="1" ht="12.75" customHeight="1" x14ac:dyDescent="0.2">
      <c r="A14" s="30"/>
      <c r="B14" s="54">
        <v>20822</v>
      </c>
      <c r="C14" s="32" t="s">
        <v>21</v>
      </c>
      <c r="D14" s="35">
        <f t="shared" si="2"/>
        <v>279.18781725888323</v>
      </c>
      <c r="E14" s="35">
        <f t="shared" si="3"/>
        <v>4.1878172588832481</v>
      </c>
      <c r="F14" s="35">
        <f>'[30]Preços 2017 - Região ABC e GRU'!$F$12</f>
        <v>275</v>
      </c>
      <c r="G14" s="82">
        <f>'[30]Preços 2017 - Região ABC e GRU'!$G$12</f>
        <v>18</v>
      </c>
      <c r="H14" s="30"/>
      <c r="I14" s="43">
        <f t="shared" si="0"/>
        <v>297.46192893401013</v>
      </c>
      <c r="J14" s="43">
        <f t="shared" si="1"/>
        <v>4.4619289340101522</v>
      </c>
      <c r="K14" s="43">
        <f t="shared" si="4"/>
        <v>293</v>
      </c>
      <c r="L14" s="91">
        <f t="shared" si="5"/>
        <v>18</v>
      </c>
      <c r="M14"/>
      <c r="N14" s="92">
        <f t="shared" si="6"/>
        <v>0</v>
      </c>
      <c r="O14" s="57">
        <f t="shared" si="7"/>
        <v>1.5000000000000001E-2</v>
      </c>
      <c r="P14" s="57">
        <f t="shared" si="8"/>
        <v>6.5454545454545432E-2</v>
      </c>
      <c r="Q14" s="57">
        <f t="shared" si="9"/>
        <v>6.5454545454545432E-2</v>
      </c>
      <c r="R14" s="25"/>
      <c r="S14" s="25" t="str">
        <f t="shared" si="10"/>
        <v>20822Direito Educacional 279,1878172588834,1878172588832527518</v>
      </c>
      <c r="T14" s="25" t="str">
        <f>'[30]Preços 2017 - Região ABC e GRU'!$B$12&amp;'[30]Preços 2017 - Região ABC e GRU'!$C$12&amp;'[30]Preços 2017 - Região ABC e GRU'!$D$12&amp;'[30]Preços 2017 - Região ABC e GRU'!$E$12&amp;'[30]Preços 2017 - Região ABC e GRU'!$F$12&amp;'[30]Preços 2017 - Região ABC e GRU'!$G$12</f>
        <v>20822Direito Educacional 279,1878172588834,1878172588832527518</v>
      </c>
      <c r="U14" s="25" t="b">
        <f t="shared" si="11"/>
        <v>1</v>
      </c>
      <c r="V14" s="25"/>
      <c r="W14" s="25" t="str">
        <f t="shared" si="12"/>
        <v>20822Direito Educacional 297,461928934014,4619289340101529318</v>
      </c>
      <c r="X14" s="25" t="str">
        <f>'Preços 2018 - Região ABC e GRU'!B12&amp;'Preços 2018 - Região ABC e GRU'!C12&amp;'Preços 2018 - Região ABC e GRU'!D12&amp;'Preços 2018 - Região ABC e GRU'!E12&amp;'Preços 2018 - Região ABC e GRU'!F12&amp;'Preços 2018 - Região ABC e GRU'!G12</f>
        <v>20822Direito Educacional 294,4162436548224,4162436548223329018</v>
      </c>
      <c r="Y14" s="25" t="b">
        <f t="shared" si="13"/>
        <v>0</v>
      </c>
      <c r="AE14" s="25"/>
    </row>
    <row r="15" spans="1:31" s="31" customFormat="1" ht="12.75" customHeight="1" x14ac:dyDescent="0.2">
      <c r="A15" s="30"/>
      <c r="B15" s="34">
        <v>20823</v>
      </c>
      <c r="C15" s="32" t="s">
        <v>27</v>
      </c>
      <c r="D15" s="35">
        <f t="shared" si="2"/>
        <v>270.05076142131981</v>
      </c>
      <c r="E15" s="35">
        <f t="shared" si="3"/>
        <v>4.0507614213197973</v>
      </c>
      <c r="F15" s="35">
        <f>'[30]Preços 2017 - Região ABC e GRU'!$F$13</f>
        <v>266</v>
      </c>
      <c r="G15" s="82">
        <f>'[30]Preços 2017 - Região ABC e GRU'!$G$13</f>
        <v>18</v>
      </c>
      <c r="H15" s="30"/>
      <c r="I15" s="43">
        <f t="shared" si="0"/>
        <v>288.32487309644671</v>
      </c>
      <c r="J15" s="43">
        <f t="shared" si="1"/>
        <v>4.3248730964467006</v>
      </c>
      <c r="K15" s="43">
        <f t="shared" si="4"/>
        <v>284</v>
      </c>
      <c r="L15" s="91">
        <f t="shared" si="5"/>
        <v>18</v>
      </c>
      <c r="M15"/>
      <c r="N15" s="92">
        <f t="shared" si="6"/>
        <v>0</v>
      </c>
      <c r="O15" s="57">
        <f t="shared" si="7"/>
        <v>1.4999999999999999E-2</v>
      </c>
      <c r="P15" s="57">
        <f t="shared" si="8"/>
        <v>6.7669172932330879E-2</v>
      </c>
      <c r="Q15" s="57">
        <f t="shared" si="9"/>
        <v>6.7669172932330879E-2</v>
      </c>
      <c r="R15" s="25"/>
      <c r="S15" s="25" t="str">
        <f t="shared" si="10"/>
        <v>20823Direitos Difusos e Coletivos270,050761421324,050761421319826618</v>
      </c>
      <c r="T15" s="25" t="str">
        <f>'[30]Preços 2017 - Região ABC e GRU'!$B$13&amp;'[30]Preços 2017 - Região ABC e GRU'!$C$13&amp;'[30]Preços 2017 - Região ABC e GRU'!$D$13&amp;'[30]Preços 2017 - Região ABC e GRU'!$E$13&amp;'[30]Preços 2017 - Região ABC e GRU'!$F$13&amp;'[30]Preços 2017 - Região ABC e GRU'!$G$13</f>
        <v>20823Direitos Difusos e Coletivos270,050761421324,050761421319826618</v>
      </c>
      <c r="U15" s="25" t="b">
        <f t="shared" si="11"/>
        <v>1</v>
      </c>
      <c r="V15" s="25"/>
      <c r="W15" s="25" t="str">
        <f t="shared" si="12"/>
        <v>20823Direitos Difusos e Coletivos288,3248730964474,324873096446728418</v>
      </c>
      <c r="X15" s="25" t="str">
        <f>'Preços 2018 - Região ABC e GRU'!B13&amp;'Preços 2018 - Região ABC e GRU'!C13&amp;'Preços 2018 - Região ABC e GRU'!D13&amp;'Preços 2018 - Região ABC e GRU'!E13&amp;'Preços 2018 - Região ABC e GRU'!F13&amp;'Preços 2018 - Região ABC e GRU'!G13</f>
        <v>20823Direitos Difusos e Coletivos294,4162436548224,4162436548223329018</v>
      </c>
      <c r="Y15" s="25" t="b">
        <f t="shared" si="13"/>
        <v>0</v>
      </c>
      <c r="AE15" s="25"/>
    </row>
    <row r="16" spans="1:31" s="31" customFormat="1" ht="12.75" customHeight="1" x14ac:dyDescent="0.2">
      <c r="A16" s="30"/>
      <c r="B16" s="54">
        <v>20824</v>
      </c>
      <c r="C16" s="32" t="s">
        <v>20</v>
      </c>
      <c r="D16" s="35">
        <f t="shared" si="2"/>
        <v>275.12690355329948</v>
      </c>
      <c r="E16" s="35">
        <f t="shared" si="3"/>
        <v>4.126903553299492</v>
      </c>
      <c r="F16" s="35">
        <f>'[30]Preços 2017 - Região ABC e GRU'!$F$14</f>
        <v>271</v>
      </c>
      <c r="G16" s="82">
        <f>'[30]Preços 2017 - Região ABC e GRU'!$G$14</f>
        <v>18</v>
      </c>
      <c r="H16" s="30"/>
      <c r="I16" s="43">
        <f t="shared" si="0"/>
        <v>293.40101522842639</v>
      </c>
      <c r="J16" s="43">
        <f t="shared" si="1"/>
        <v>4.4010152284263953</v>
      </c>
      <c r="K16" s="43">
        <f t="shared" si="4"/>
        <v>289</v>
      </c>
      <c r="L16" s="91">
        <f t="shared" si="5"/>
        <v>18</v>
      </c>
      <c r="M16"/>
      <c r="N16" s="92">
        <f t="shared" si="6"/>
        <v>0</v>
      </c>
      <c r="O16" s="57">
        <f t="shared" si="7"/>
        <v>1.4999999999999998E-2</v>
      </c>
      <c r="P16" s="57">
        <f t="shared" si="8"/>
        <v>6.6420664206642055E-2</v>
      </c>
      <c r="Q16" s="57">
        <f t="shared" si="9"/>
        <v>6.6420664206642055E-2</v>
      </c>
      <c r="R16" s="25"/>
      <c r="S16" s="25" t="str">
        <f t="shared" si="10"/>
        <v>20824Engenharia do Produto Utilizando o Método dos Elementos Finitos 275,1269035532994,1269035532994927118</v>
      </c>
      <c r="T16" s="25" t="str">
        <f>'[30]Preços 2017 - Região ABC e GRU'!$B$14&amp;'[30]Preços 2017 - Região ABC e GRU'!$C$14&amp;'[30]Preços 2017 - Região ABC e GRU'!$D$14&amp;'[30]Preços 2017 - Região ABC e GRU'!$E$14&amp;'[30]Preços 2017 - Região ABC e GRU'!$F$14&amp;'[30]Preços 2017 - Região ABC e GRU'!$G$14</f>
        <v>20824Engenharia do Produto Utilizando o Método dos Elementos Finitos 275,1269035532994,1269035532994927118</v>
      </c>
      <c r="U16" s="25" t="b">
        <f t="shared" si="11"/>
        <v>1</v>
      </c>
      <c r="V16" s="25"/>
      <c r="W16" s="25" t="str">
        <f t="shared" si="12"/>
        <v>20824Engenharia do Produto Utilizando o Método dos Elementos Finitos 293,4010152284264,401015228426428918</v>
      </c>
      <c r="X16" s="25" t="str">
        <f>'Preços 2018 - Região ABC e GRU'!B14&amp;'Preços 2018 - Região ABC e GRU'!C14&amp;'Preços 2018 - Região ABC e GRU'!D14&amp;'Preços 2018 - Região ABC e GRU'!E14&amp;'Preços 2018 - Região ABC e GRU'!F14&amp;'Preços 2018 - Região ABC e GRU'!G14</f>
        <v>20824Engenharia do Produto Utilizando o Método dos Elementos Finitos 294,4162436548224,4162436548223329018</v>
      </c>
      <c r="Y16" s="25" t="b">
        <f t="shared" si="13"/>
        <v>0</v>
      </c>
      <c r="AE16" s="25"/>
    </row>
    <row r="17" spans="1:31" s="31" customFormat="1" ht="12.75" customHeight="1" x14ac:dyDescent="0.2">
      <c r="A17" s="30"/>
      <c r="B17" s="54">
        <v>20831</v>
      </c>
      <c r="C17" s="32" t="s">
        <v>42</v>
      </c>
      <c r="D17" s="35">
        <f t="shared" si="2"/>
        <v>301.52284263959393</v>
      </c>
      <c r="E17" s="35">
        <f t="shared" si="3"/>
        <v>4.5228426395939092</v>
      </c>
      <c r="F17" s="35">
        <f>'[30]Preços 2017 - Região ABC e GRU'!$F$15</f>
        <v>297</v>
      </c>
      <c r="G17" s="82">
        <f>'[30]Preços 2017 - Região ABC e GRU'!$G$15</f>
        <v>18</v>
      </c>
      <c r="H17" s="30"/>
      <c r="I17" s="43">
        <f t="shared" si="0"/>
        <v>321.82741116751271</v>
      </c>
      <c r="J17" s="43">
        <f t="shared" si="1"/>
        <v>4.8274111675126905</v>
      </c>
      <c r="K17" s="43">
        <f t="shared" si="4"/>
        <v>317</v>
      </c>
      <c r="L17" s="91">
        <f t="shared" si="5"/>
        <v>18</v>
      </c>
      <c r="M17"/>
      <c r="N17" s="92">
        <f t="shared" si="6"/>
        <v>0</v>
      </c>
      <c r="O17" s="57">
        <f t="shared" si="7"/>
        <v>1.4999999999999999E-2</v>
      </c>
      <c r="P17" s="57">
        <f t="shared" si="8"/>
        <v>6.7340067340067256E-2</v>
      </c>
      <c r="Q17" s="57">
        <f t="shared" si="9"/>
        <v>6.7340067340067256E-2</v>
      </c>
      <c r="R17" s="25"/>
      <c r="S17" s="25" t="str">
        <f t="shared" si="10"/>
        <v>20831Filosofia da Religião301,5228426395944,5228426395939129718</v>
      </c>
      <c r="T17" s="25" t="str">
        <f>'[30]Preços 2017 - Região ABC e GRU'!$B$15&amp;'[30]Preços 2017 - Região ABC e GRU'!$C$15&amp;'[30]Preços 2017 - Região ABC e GRU'!$D$15&amp;'[30]Preços 2017 - Região ABC e GRU'!$E$15&amp;'[30]Preços 2017 - Região ABC e GRU'!$F$15&amp;'[30]Preços 2017 - Região ABC e GRU'!$G$15</f>
        <v>20831Filosofia da Religião301,5228426395944,5228426395939129718</v>
      </c>
      <c r="U17" s="25" t="b">
        <f t="shared" si="11"/>
        <v>1</v>
      </c>
      <c r="V17" s="25"/>
      <c r="W17" s="25" t="str">
        <f t="shared" si="12"/>
        <v>20831Filosofia da Religião321,8274111675134,8274111675126931718</v>
      </c>
      <c r="X17" s="25" t="str">
        <f>'Preços 2018 - Região ABC e GRU'!B15&amp;'Preços 2018 - Região ABC e GRU'!C15&amp;'Preços 2018 - Região ABC e GRU'!D15&amp;'Preços 2018 - Região ABC e GRU'!E15&amp;'Preços 2018 - Região ABC e GRU'!F15&amp;'Preços 2018 - Região ABC e GRU'!G15</f>
        <v>20831Filosofia da Religião294,4162436548224,4162436548223329018</v>
      </c>
      <c r="Y17" s="25" t="b">
        <f t="shared" si="13"/>
        <v>0</v>
      </c>
      <c r="AE17" s="25"/>
    </row>
    <row r="18" spans="1:31" s="31" customFormat="1" ht="12.75" customHeight="1" x14ac:dyDescent="0.2">
      <c r="A18" s="30"/>
      <c r="B18" s="54">
        <v>20825</v>
      </c>
      <c r="C18" s="32" t="s">
        <v>46</v>
      </c>
      <c r="D18" s="35">
        <f t="shared" si="2"/>
        <v>279.18781725888323</v>
      </c>
      <c r="E18" s="35">
        <f t="shared" si="3"/>
        <v>4.1878172588832481</v>
      </c>
      <c r="F18" s="35">
        <f>'[30]Preços 2017 - Região ABC e GRU'!$F$16</f>
        <v>275</v>
      </c>
      <c r="G18" s="82">
        <f>'[30]Preços 2017 - Região ABC e GRU'!$G$16</f>
        <v>18</v>
      </c>
      <c r="H18" s="30"/>
      <c r="I18" s="43">
        <f t="shared" ref="I18" si="14">K18/(1-$M$4)</f>
        <v>297.46192893401013</v>
      </c>
      <c r="J18" s="43">
        <f t="shared" ref="J18" si="15">I18*$M$4</f>
        <v>4.4619289340101522</v>
      </c>
      <c r="K18" s="43">
        <f t="shared" si="4"/>
        <v>293</v>
      </c>
      <c r="L18" s="91">
        <f t="shared" si="5"/>
        <v>18</v>
      </c>
      <c r="M18" s="61"/>
      <c r="N18" s="92">
        <f t="shared" si="6"/>
        <v>0</v>
      </c>
      <c r="O18" s="57">
        <f t="shared" si="7"/>
        <v>1.5000000000000001E-2</v>
      </c>
      <c r="P18" s="57">
        <f t="shared" si="8"/>
        <v>6.5454545454545432E-2</v>
      </c>
      <c r="Q18" s="57">
        <f t="shared" si="9"/>
        <v>6.5454545454545432E-2</v>
      </c>
      <c r="R18" s="30"/>
      <c r="S18" s="25" t="str">
        <f t="shared" si="10"/>
        <v>20825Gestão de Mídias Digitais 279,1878172588834,1878172588832527518</v>
      </c>
      <c r="T18" s="25" t="str">
        <f>'[30]Preços 2017 - Região ABC e GRU'!$B$16&amp;'[30]Preços 2017 - Região ABC e GRU'!$C$16&amp;'[30]Preços 2017 - Região ABC e GRU'!$D$16&amp;'[30]Preços 2017 - Região ABC e GRU'!$E$16&amp;'[30]Preços 2017 - Região ABC e GRU'!$F$16&amp;'[30]Preços 2017 - Região ABC e GRU'!$G$16</f>
        <v>20825Gestão de Mídias Digitais 279,1878172588834,1878172588832527518</v>
      </c>
      <c r="U18" s="25" t="b">
        <f t="shared" si="11"/>
        <v>1</v>
      </c>
      <c r="V18" s="30"/>
      <c r="W18" s="25" t="str">
        <f t="shared" si="12"/>
        <v>20825Gestão de Mídias Digitais 297,461928934014,4619289340101529318</v>
      </c>
      <c r="X18" s="25" t="str">
        <f>'Preços 2018 - Região ABC e GRU'!B16&amp;'Preços 2018 - Região ABC e GRU'!C16&amp;'Preços 2018 - Região ABC e GRU'!D16&amp;'Preços 2018 - Região ABC e GRU'!E16&amp;'Preços 2018 - Região ABC e GRU'!F16&amp;'Preços 2018 - Região ABC e GRU'!G16</f>
        <v>20825Gestão de Mídias Digitais 294,4162436548224,4162436548223329018</v>
      </c>
      <c r="Y18" s="25" t="b">
        <f t="shared" si="13"/>
        <v>0</v>
      </c>
      <c r="AE18" s="25"/>
    </row>
    <row r="19" spans="1:31" s="31" customFormat="1" ht="12.75" customHeight="1" x14ac:dyDescent="0.2">
      <c r="A19" s="30"/>
      <c r="B19" s="34">
        <v>20018</v>
      </c>
      <c r="C19" s="32" t="s">
        <v>11</v>
      </c>
      <c r="D19" s="35">
        <f t="shared" ref="D19:D37" si="16">F19/(1-$G$4)</f>
        <v>313.70558375634516</v>
      </c>
      <c r="E19" s="35">
        <f t="shared" si="3"/>
        <v>4.7055837563451774</v>
      </c>
      <c r="F19" s="35">
        <f>'[30]Preços 2017 - Região ABC e GRU'!$F$17</f>
        <v>309</v>
      </c>
      <c r="G19" s="82">
        <f>'[30]Preços 2017 - Região ABC e GRU'!$G$17</f>
        <v>18</v>
      </c>
      <c r="H19" s="30"/>
      <c r="I19" s="43">
        <f t="shared" ref="I19:I30" si="17">K19/(1-$M$4)</f>
        <v>335.02538071065993</v>
      </c>
      <c r="J19" s="43">
        <f t="shared" ref="J19:J30" si="18">I19*$M$4</f>
        <v>5.0253807106598991</v>
      </c>
      <c r="K19" s="43">
        <f t="shared" si="4"/>
        <v>330</v>
      </c>
      <c r="L19" s="91">
        <f t="shared" si="5"/>
        <v>18</v>
      </c>
      <c r="M19"/>
      <c r="N19" s="92">
        <f t="shared" si="6"/>
        <v>0</v>
      </c>
      <c r="O19" s="57">
        <f t="shared" si="7"/>
        <v>1.5000000000000001E-2</v>
      </c>
      <c r="P19" s="57">
        <f t="shared" si="8"/>
        <v>6.7961165048543881E-2</v>
      </c>
      <c r="Q19" s="57">
        <f t="shared" si="9"/>
        <v>6.7961165048543659E-2</v>
      </c>
      <c r="R19" s="25"/>
      <c r="S19" s="25" t="str">
        <f t="shared" si="10"/>
        <v>20018Gerenciamento de Projetos de TI com Práticas Alinhadas ao PMI®313,7055837563454,7055837563451830918</v>
      </c>
      <c r="T19" s="25" t="str">
        <f>'[30]Preços 2017 - Região ABC e GRU'!$B$17&amp;'[30]Preços 2017 - Região ABC e GRU'!$C$17&amp;'[30]Preços 2017 - Região ABC e GRU'!$D$17&amp;'[30]Preços 2017 - Região ABC e GRU'!$E$17&amp;'[30]Preços 2017 - Região ABC e GRU'!$F$17&amp;'[30]Preços 2017 - Região ABC e GRU'!$G$17</f>
        <v>20018Gerenciamento de Projetos de TI com Práticas Alinhadas ao PMI®313,7055837563454,7055837563451830918</v>
      </c>
      <c r="U19" s="25" t="b">
        <f t="shared" si="11"/>
        <v>1</v>
      </c>
      <c r="V19" s="25"/>
      <c r="W19" s="25" t="str">
        <f t="shared" si="12"/>
        <v>20018Gerenciamento de Projetos de TI com Práticas Alinhadas ao PMI®335,025380710665,025380710659933018</v>
      </c>
      <c r="X19" s="25" t="str">
        <f>'Preços 2018 - Região ABC e GRU'!B17&amp;'Preços 2018 - Região ABC e GRU'!C17&amp;'Preços 2018 - Região ABC e GRU'!D17&amp;'Preços 2018 - Região ABC e GRU'!E17&amp;'Preços 2018 - Região ABC e GRU'!F17&amp;'Preços 2018 - Região ABC e GRU'!G17</f>
        <v>20018Gerenciamento de Projetos de TI com Práticas Alinhadas ao PMI®294,4162436548224,4162436548223329018</v>
      </c>
      <c r="Y19" s="25" t="b">
        <f t="shared" si="13"/>
        <v>0</v>
      </c>
      <c r="AE19" s="25"/>
    </row>
    <row r="20" spans="1:31" s="31" customFormat="1" ht="12.75" customHeight="1" x14ac:dyDescent="0.2">
      <c r="A20" s="30"/>
      <c r="B20" s="54">
        <v>20826</v>
      </c>
      <c r="C20" s="32" t="s">
        <v>22</v>
      </c>
      <c r="D20" s="35">
        <f t="shared" si="16"/>
        <v>275.12690355329948</v>
      </c>
      <c r="E20" s="35">
        <f t="shared" si="3"/>
        <v>4.126903553299492</v>
      </c>
      <c r="F20" s="35">
        <f>'[30]Preços 2017 - Região ABC e GRU'!$F$18</f>
        <v>271</v>
      </c>
      <c r="G20" s="82">
        <f>'[30]Preços 2017 - Região ABC e GRU'!$G$18</f>
        <v>18</v>
      </c>
      <c r="H20" s="30"/>
      <c r="I20" s="43">
        <f t="shared" si="17"/>
        <v>293.40101522842639</v>
      </c>
      <c r="J20" s="43">
        <f t="shared" si="18"/>
        <v>4.4010152284263953</v>
      </c>
      <c r="K20" s="43">
        <f t="shared" si="4"/>
        <v>289</v>
      </c>
      <c r="L20" s="91">
        <f t="shared" si="5"/>
        <v>18</v>
      </c>
      <c r="M20"/>
      <c r="N20" s="92">
        <f t="shared" si="6"/>
        <v>0</v>
      </c>
      <c r="O20" s="57">
        <f t="shared" si="7"/>
        <v>1.4999999999999998E-2</v>
      </c>
      <c r="P20" s="57">
        <f t="shared" si="8"/>
        <v>6.6420664206642055E-2</v>
      </c>
      <c r="Q20" s="57">
        <f t="shared" si="9"/>
        <v>6.6420664206642055E-2</v>
      </c>
      <c r="R20" s="25"/>
      <c r="S20" s="25" t="str">
        <f t="shared" si="10"/>
        <v>20826Gestão Ambiental275,1269035532994,1269035532994927118</v>
      </c>
      <c r="T20" s="25" t="str">
        <f>'[30]Preços 2017 - Região ABC e GRU'!$B$18&amp;'[30]Preços 2017 - Região ABC e GRU'!$C$18&amp;'[30]Preços 2017 - Região ABC e GRU'!$D$18&amp;'[30]Preços 2017 - Região ABC e GRU'!$E$18&amp;'[30]Preços 2017 - Região ABC e GRU'!$F$18&amp;'[30]Preços 2017 - Região ABC e GRU'!$G$18</f>
        <v>20826Gestão Ambiental275,1269035532994,1269035532994927118</v>
      </c>
      <c r="U20" s="25" t="b">
        <f t="shared" si="11"/>
        <v>1</v>
      </c>
      <c r="V20" s="25"/>
      <c r="W20" s="25" t="str">
        <f t="shared" si="12"/>
        <v>20826Gestão Ambiental293,4010152284264,401015228426428918</v>
      </c>
      <c r="X20" s="25" t="str">
        <f>'Preços 2018 - Região ABC e GRU'!B18&amp;'Preços 2018 - Região ABC e GRU'!C18&amp;'Preços 2018 - Região ABC e GRU'!D18&amp;'Preços 2018 - Região ABC e GRU'!E18&amp;'Preços 2018 - Região ABC e GRU'!F18&amp;'Preços 2018 - Região ABC e GRU'!G18</f>
        <v>20826Gestão Ambiental294,4162436548224,4162436548223329018</v>
      </c>
      <c r="Y20" s="25" t="b">
        <f t="shared" si="13"/>
        <v>0</v>
      </c>
      <c r="AE20" s="25"/>
    </row>
    <row r="21" spans="1:31" s="31" customFormat="1" ht="12.75" customHeight="1" x14ac:dyDescent="0.2">
      <c r="A21" s="30"/>
      <c r="B21" s="54">
        <v>20827</v>
      </c>
      <c r="C21" s="32" t="s">
        <v>24</v>
      </c>
      <c r="D21" s="35">
        <f t="shared" si="16"/>
        <v>355.32994923857871</v>
      </c>
      <c r="E21" s="35">
        <f t="shared" si="3"/>
        <v>5.3299492385786804</v>
      </c>
      <c r="F21" s="35">
        <f>'[30]Preços 2017 - Região ABC e GRU'!$F$19</f>
        <v>350</v>
      </c>
      <c r="G21" s="82">
        <f>'[30]Preços 2017 - Região ABC e GRU'!$G$19</f>
        <v>18</v>
      </c>
      <c r="H21" s="30"/>
      <c r="I21" s="43">
        <f t="shared" si="17"/>
        <v>378.68020304568529</v>
      </c>
      <c r="J21" s="43">
        <f t="shared" si="18"/>
        <v>5.6802030456852792</v>
      </c>
      <c r="K21" s="43">
        <f t="shared" si="4"/>
        <v>373</v>
      </c>
      <c r="L21" s="91">
        <f t="shared" si="5"/>
        <v>18</v>
      </c>
      <c r="M21"/>
      <c r="N21" s="92">
        <f t="shared" si="6"/>
        <v>0</v>
      </c>
      <c r="O21" s="57">
        <f t="shared" si="7"/>
        <v>1.4999999999999999E-2</v>
      </c>
      <c r="P21" s="57">
        <f t="shared" si="8"/>
        <v>6.5714285714285614E-2</v>
      </c>
      <c r="Q21" s="57">
        <f t="shared" si="9"/>
        <v>6.5714285714285614E-2</v>
      </c>
      <c r="R21" s="25"/>
      <c r="S21" s="25" t="str">
        <f t="shared" si="10"/>
        <v>20827Gestão da Cadeia Produtiva Aeroespacial355,3299492385795,3299492385786835018</v>
      </c>
      <c r="T21" s="25" t="str">
        <f>'[30]Preços 2017 - Região ABC e GRU'!$B$19&amp;'[30]Preços 2017 - Região ABC e GRU'!$C$19&amp;'[30]Preços 2017 - Região ABC e GRU'!$D$19&amp;'[30]Preços 2017 - Região ABC e GRU'!$E$19&amp;'[30]Preços 2017 - Região ABC e GRU'!$F$19&amp;'[30]Preços 2017 - Região ABC e GRU'!$G$19</f>
        <v>20827Gestão da Cadeia Produtiva Aeroespacial355,3299492385795,3299492385786835018</v>
      </c>
      <c r="U21" s="25" t="b">
        <f t="shared" si="11"/>
        <v>1</v>
      </c>
      <c r="V21" s="25"/>
      <c r="W21" s="25" t="str">
        <f t="shared" si="12"/>
        <v>20827Gestão da Cadeia Produtiva Aeroespacial378,6802030456855,6802030456852837318</v>
      </c>
      <c r="X21" s="25" t="str">
        <f>'Preços 2018 - Região ABC e GRU'!B19&amp;'Preços 2018 - Região ABC e GRU'!C19&amp;'Preços 2018 - Região ABC e GRU'!D19&amp;'Preços 2018 - Região ABC e GRU'!E19&amp;'Preços 2018 - Região ABC e GRU'!F19&amp;'Preços 2018 - Região ABC e GRU'!G19</f>
        <v>20827Gestão da Cadeia Produtiva Aeroespacial294,4162436548224,4162436548223329018</v>
      </c>
      <c r="Y21" s="25" t="b">
        <f t="shared" si="13"/>
        <v>0</v>
      </c>
      <c r="AE21" s="25"/>
    </row>
    <row r="22" spans="1:31" s="31" customFormat="1" ht="12.75" customHeight="1" x14ac:dyDescent="0.2">
      <c r="A22" s="30"/>
      <c r="B22" s="34">
        <v>20010</v>
      </c>
      <c r="C22" s="32" t="s">
        <v>8</v>
      </c>
      <c r="D22" s="35">
        <f t="shared" si="16"/>
        <v>284.26395939086296</v>
      </c>
      <c r="E22" s="35">
        <f t="shared" si="3"/>
        <v>4.2639593908629445</v>
      </c>
      <c r="F22" s="35">
        <f>'[30]Preços 2017 - Região ABC e GRU'!$F$20</f>
        <v>280</v>
      </c>
      <c r="G22" s="82">
        <f>'[30]Preços 2017 - Região ABC e GRU'!$G$20</f>
        <v>18</v>
      </c>
      <c r="H22" s="30"/>
      <c r="I22" s="43">
        <f t="shared" si="17"/>
        <v>303.5532994923858</v>
      </c>
      <c r="J22" s="43">
        <f t="shared" si="18"/>
        <v>4.5532994923857872</v>
      </c>
      <c r="K22" s="43">
        <f t="shared" si="4"/>
        <v>299</v>
      </c>
      <c r="L22" s="91">
        <f t="shared" si="5"/>
        <v>18</v>
      </c>
      <c r="M22"/>
      <c r="N22" s="92">
        <f t="shared" si="6"/>
        <v>0</v>
      </c>
      <c r="O22" s="57">
        <f t="shared" si="7"/>
        <v>1.5000000000000001E-2</v>
      </c>
      <c r="P22" s="57">
        <f t="shared" si="8"/>
        <v>6.7857142857142838E-2</v>
      </c>
      <c r="Q22" s="57">
        <f t="shared" si="9"/>
        <v>6.7857142857142838E-2</v>
      </c>
      <c r="R22" s="25"/>
      <c r="S22" s="25" t="str">
        <f t="shared" si="10"/>
        <v>20010Gestão da Qualidade 284,2639593908634,2639593908629428018</v>
      </c>
      <c r="T22" s="25" t="str">
        <f>'[30]Preços 2017 - Região ABC e GRU'!$B$20&amp;'[30]Preços 2017 - Região ABC e GRU'!$C$20&amp;'[30]Preços 2017 - Região ABC e GRU'!$D$20&amp;'[30]Preços 2017 - Região ABC e GRU'!$E$20&amp;'[30]Preços 2017 - Região ABC e GRU'!$F$20&amp;'[30]Preços 2017 - Região ABC e GRU'!$G$20</f>
        <v>20010Gestão da Qualidade 284,2639593908634,2639593908629428018</v>
      </c>
      <c r="U22" s="25" t="b">
        <f t="shared" si="11"/>
        <v>1</v>
      </c>
      <c r="V22" s="25"/>
      <c r="W22" s="25" t="str">
        <f t="shared" si="12"/>
        <v>20010Gestão da Qualidade 303,5532994923864,5532994923857929918</v>
      </c>
      <c r="X22" s="25" t="str">
        <f>'Preços 2018 - Região ABC e GRU'!B20&amp;'Preços 2018 - Região ABC e GRU'!C20&amp;'Preços 2018 - Região ABC e GRU'!D20&amp;'Preços 2018 - Região ABC e GRU'!E20&amp;'Preços 2018 - Região ABC e GRU'!F20&amp;'Preços 2018 - Região ABC e GRU'!G20</f>
        <v>20010Gestão da Qualidade 294,4162436548224,4162436548223329018</v>
      </c>
      <c r="Y22" s="25" t="b">
        <f t="shared" si="13"/>
        <v>0</v>
      </c>
      <c r="AE22" s="25"/>
    </row>
    <row r="23" spans="1:31" s="31" customFormat="1" ht="12.75" customHeight="1" x14ac:dyDescent="0.2">
      <c r="A23" s="30"/>
      <c r="B23" s="54">
        <v>20828</v>
      </c>
      <c r="C23" s="32" t="s">
        <v>25</v>
      </c>
      <c r="D23" s="35">
        <f t="shared" si="16"/>
        <v>275.12690355329948</v>
      </c>
      <c r="E23" s="35">
        <f t="shared" si="3"/>
        <v>4.126903553299492</v>
      </c>
      <c r="F23" s="35">
        <f>'[30]Preços 2017 - Região ABC e GRU'!$F$21</f>
        <v>271</v>
      </c>
      <c r="G23" s="82">
        <f>'[30]Preços 2017 - Região ABC e GRU'!$G$21</f>
        <v>18</v>
      </c>
      <c r="H23" s="30"/>
      <c r="I23" s="43">
        <f t="shared" si="17"/>
        <v>293.40101522842639</v>
      </c>
      <c r="J23" s="43">
        <f t="shared" si="18"/>
        <v>4.4010152284263953</v>
      </c>
      <c r="K23" s="43">
        <f t="shared" si="4"/>
        <v>289</v>
      </c>
      <c r="L23" s="91">
        <f t="shared" si="5"/>
        <v>18</v>
      </c>
      <c r="M23"/>
      <c r="N23" s="92">
        <f t="shared" si="6"/>
        <v>0</v>
      </c>
      <c r="O23" s="57">
        <f t="shared" si="7"/>
        <v>1.4999999999999998E-2</v>
      </c>
      <c r="P23" s="57">
        <f t="shared" si="8"/>
        <v>6.6420664206642055E-2</v>
      </c>
      <c r="Q23" s="57">
        <f t="shared" si="9"/>
        <v>6.6420664206642055E-2</v>
      </c>
      <c r="R23" s="25"/>
      <c r="S23" s="25" t="str">
        <f t="shared" si="10"/>
        <v>20828Gestão de Cidades275,1269035532994,1269035532994927118</v>
      </c>
      <c r="T23" s="25" t="str">
        <f>'[30]Preços 2017 - Região ABC e GRU'!$B$21&amp;'[30]Preços 2017 - Região ABC e GRU'!$C$21&amp;'[30]Preços 2017 - Região ABC e GRU'!$D$21&amp;'[30]Preços 2017 - Região ABC e GRU'!$E$21&amp;'[30]Preços 2017 - Região ABC e GRU'!$F$21&amp;'[30]Preços 2017 - Região ABC e GRU'!$G$21</f>
        <v>20828Gestão de Cidades275,1269035532994,1269035532994927118</v>
      </c>
      <c r="U23" s="25" t="b">
        <f t="shared" si="11"/>
        <v>1</v>
      </c>
      <c r="V23" s="25"/>
      <c r="W23" s="25" t="str">
        <f t="shared" si="12"/>
        <v>20828Gestão de Cidades293,4010152284264,401015228426428918</v>
      </c>
      <c r="X23" s="25" t="str">
        <f>'Preços 2018 - Região ABC e GRU'!B21&amp;'Preços 2018 - Região ABC e GRU'!C21&amp;'Preços 2018 - Região ABC e GRU'!D21&amp;'Preços 2018 - Região ABC e GRU'!E21&amp;'Preços 2018 - Região ABC e GRU'!F21&amp;'Preços 2018 - Região ABC e GRU'!G21</f>
        <v>20828Gestão de Cidades294,4162436548224,4162436548223329018</v>
      </c>
      <c r="Y23" s="25" t="b">
        <f t="shared" si="13"/>
        <v>0</v>
      </c>
      <c r="AE23" s="25"/>
    </row>
    <row r="24" spans="1:31" s="31" customFormat="1" ht="12.75" customHeight="1" x14ac:dyDescent="0.2">
      <c r="A24" s="30"/>
      <c r="B24" s="34">
        <v>20015</v>
      </c>
      <c r="C24" s="32" t="s">
        <v>47</v>
      </c>
      <c r="D24" s="35">
        <f t="shared" si="16"/>
        <v>297.46192893401013</v>
      </c>
      <c r="E24" s="35">
        <f t="shared" si="3"/>
        <v>4.4619289340101522</v>
      </c>
      <c r="F24" s="35">
        <f>'[30]Preços 2017 - Região ABC e GRU'!$F$22</f>
        <v>293</v>
      </c>
      <c r="G24" s="82">
        <f>'[30]Preços 2017 - Região ABC e GRU'!$G$22</f>
        <v>18</v>
      </c>
      <c r="H24" s="30"/>
      <c r="I24" s="43">
        <f t="shared" si="17"/>
        <v>317.76649746192896</v>
      </c>
      <c r="J24" s="43">
        <f t="shared" si="18"/>
        <v>4.7664974619289344</v>
      </c>
      <c r="K24" s="43">
        <f t="shared" si="4"/>
        <v>313</v>
      </c>
      <c r="L24" s="91">
        <f t="shared" si="5"/>
        <v>18</v>
      </c>
      <c r="M24"/>
      <c r="N24" s="92">
        <f t="shared" si="6"/>
        <v>0</v>
      </c>
      <c r="O24" s="57">
        <f t="shared" si="7"/>
        <v>1.4999999999999999E-2</v>
      </c>
      <c r="P24" s="57">
        <f t="shared" si="8"/>
        <v>6.8259385665529138E-2</v>
      </c>
      <c r="Q24" s="57">
        <f t="shared" si="9"/>
        <v>6.8259385665528916E-2</v>
      </c>
      <c r="R24" s="25"/>
      <c r="S24" s="25" t="str">
        <f t="shared" si="10"/>
        <v>20015Gestão de Conteúdo em Comunicação - Jornalismo297,461928934014,4619289340101529318</v>
      </c>
      <c r="T24" s="25" t="str">
        <f>'[30]Preços 2017 - Região ABC e GRU'!$B$22&amp;'[30]Preços 2017 - Região ABC e GRU'!$C$22&amp;'[30]Preços 2017 - Região ABC e GRU'!$D$22&amp;'[30]Preços 2017 - Região ABC e GRU'!$E$22&amp;'[30]Preços 2017 - Região ABC e GRU'!$F$22&amp;'[30]Preços 2017 - Região ABC e GRU'!$G$22</f>
        <v>20015Gestão de Conteúdo em Comunicação - Jornalismo297,461928934014,4619289340101529318</v>
      </c>
      <c r="U24" s="25" t="b">
        <f t="shared" si="11"/>
        <v>1</v>
      </c>
      <c r="V24" s="25"/>
      <c r="W24" s="25" t="str">
        <f t="shared" si="12"/>
        <v>20015Gestão de Conteúdo em Comunicação - Jornalismo317,7664974619294,7664974619289331318</v>
      </c>
      <c r="X24" s="25" t="str">
        <f>'Preços 2018 - Região ABC e GRU'!B22&amp;'Preços 2018 - Região ABC e GRU'!C22&amp;'Preços 2018 - Região ABC e GRU'!D22&amp;'Preços 2018 - Região ABC e GRU'!E22&amp;'Preços 2018 - Região ABC e GRU'!F22&amp;'Preços 2018 - Região ABC e GRU'!G22</f>
        <v>20015Gestão de Conteúdo em Comunicação - Jornalismo294,4162436548224,4162436548223329018</v>
      </c>
      <c r="Y24" s="25" t="b">
        <f t="shared" si="13"/>
        <v>0</v>
      </c>
      <c r="AE24" s="25"/>
    </row>
    <row r="25" spans="1:31" s="25" customFormat="1" ht="12.75" customHeight="1" x14ac:dyDescent="0.2">
      <c r="A25" s="23"/>
      <c r="B25" s="34">
        <v>20027</v>
      </c>
      <c r="C25" s="32" t="s">
        <v>16</v>
      </c>
      <c r="D25" s="35">
        <f t="shared" si="16"/>
        <v>313.70558375634516</v>
      </c>
      <c r="E25" s="35">
        <f t="shared" si="3"/>
        <v>4.7055837563451774</v>
      </c>
      <c r="F25" s="35">
        <f>'[30]Preços 2017 - Região ABC e GRU'!$F$23</f>
        <v>309</v>
      </c>
      <c r="G25" s="82">
        <f>'[30]Preços 2017 - Região ABC e GRU'!$G$23</f>
        <v>18</v>
      </c>
      <c r="H25" s="23"/>
      <c r="I25" s="43">
        <f t="shared" si="17"/>
        <v>335.02538071065993</v>
      </c>
      <c r="J25" s="43">
        <f t="shared" si="18"/>
        <v>5.0253807106598991</v>
      </c>
      <c r="K25" s="43">
        <f t="shared" si="4"/>
        <v>330</v>
      </c>
      <c r="L25" s="91">
        <f t="shared" si="5"/>
        <v>18</v>
      </c>
      <c r="M25"/>
      <c r="N25" s="92">
        <f t="shared" si="6"/>
        <v>0</v>
      </c>
      <c r="O25" s="57">
        <f t="shared" si="7"/>
        <v>1.5000000000000001E-2</v>
      </c>
      <c r="P25" s="57">
        <f t="shared" si="8"/>
        <v>6.7961165048543881E-2</v>
      </c>
      <c r="Q25" s="57">
        <f t="shared" si="9"/>
        <v>6.7961165048543659E-2</v>
      </c>
      <c r="S25" s="25" t="str">
        <f t="shared" si="10"/>
        <v>20027Gestão de Projetos com Práticas Alinhadas ao PMI®313,7055837563454,7055837563451830918</v>
      </c>
      <c r="T25" s="25" t="str">
        <f>'[30]Preços 2017 - Região ABC e GRU'!$B$23&amp;'[30]Preços 2017 - Região ABC e GRU'!$C$23&amp;'[30]Preços 2017 - Região ABC e GRU'!$D$23&amp;'[30]Preços 2017 - Região ABC e GRU'!$E$23&amp;'[30]Preços 2017 - Região ABC e GRU'!$F$23&amp;'[30]Preços 2017 - Região ABC e GRU'!$G$23</f>
        <v>20027Gestão de Projetos com Práticas Alinhadas ao PMI®313,7055837563454,7055837563451830918</v>
      </c>
      <c r="U25" s="25" t="b">
        <f t="shared" si="11"/>
        <v>1</v>
      </c>
      <c r="W25" s="25" t="str">
        <f t="shared" si="12"/>
        <v>20027Gestão de Projetos com Práticas Alinhadas ao PMI®335,025380710665,025380710659933018</v>
      </c>
      <c r="X25" s="25" t="str">
        <f>'Preços 2018 - Região ABC e GRU'!B23&amp;'Preços 2018 - Região ABC e GRU'!C23&amp;'Preços 2018 - Região ABC e GRU'!D23&amp;'Preços 2018 - Região ABC e GRU'!E23&amp;'Preços 2018 - Região ABC e GRU'!F23&amp;'Preços 2018 - Região ABC e GRU'!G23</f>
        <v>20027Gestão de Projetos com Práticas Alinhadas ao PMI®294,4162436548224,4162436548223329018</v>
      </c>
      <c r="Y25" s="25" t="b">
        <f t="shared" si="13"/>
        <v>0</v>
      </c>
    </row>
    <row r="26" spans="1:31" s="25" customFormat="1" ht="12.75" customHeight="1" x14ac:dyDescent="0.2">
      <c r="A26" s="23"/>
      <c r="B26" s="34">
        <v>20729</v>
      </c>
      <c r="C26" s="32" t="s">
        <v>9</v>
      </c>
      <c r="D26" s="35">
        <f t="shared" si="16"/>
        <v>288.32487309644671</v>
      </c>
      <c r="E26" s="35">
        <f t="shared" si="3"/>
        <v>4.3248730964467006</v>
      </c>
      <c r="F26" s="35">
        <f>'[30]Preços 2017 - Região ABC e GRU'!$F$24</f>
        <v>284</v>
      </c>
      <c r="G26" s="82">
        <f>'[30]Preços 2017 - Região ABC e GRU'!$G$24</f>
        <v>18</v>
      </c>
      <c r="H26" s="23"/>
      <c r="I26" s="43">
        <f t="shared" si="17"/>
        <v>307.61421319796955</v>
      </c>
      <c r="J26" s="43">
        <f t="shared" si="18"/>
        <v>4.6142131979695433</v>
      </c>
      <c r="K26" s="43">
        <f t="shared" si="4"/>
        <v>303</v>
      </c>
      <c r="L26" s="91">
        <f t="shared" si="5"/>
        <v>18</v>
      </c>
      <c r="M26"/>
      <c r="N26" s="92">
        <f t="shared" si="6"/>
        <v>0</v>
      </c>
      <c r="O26" s="57">
        <f t="shared" si="7"/>
        <v>1.5000000000000001E-2</v>
      </c>
      <c r="P26" s="57">
        <f t="shared" si="8"/>
        <v>6.6901408450704247E-2</v>
      </c>
      <c r="Q26" s="57">
        <f t="shared" si="9"/>
        <v>6.6901408450704247E-2</v>
      </c>
      <c r="S26" s="25" t="str">
        <f t="shared" si="10"/>
        <v>20729Gestão Empresarial288,3248730964474,324873096446728418</v>
      </c>
      <c r="T26" s="25" t="str">
        <f>'[30]Preços 2017 - Região ABC e GRU'!$B$24&amp;'[30]Preços 2017 - Região ABC e GRU'!$C$24&amp;'[30]Preços 2017 - Região ABC e GRU'!$D$24&amp;'[30]Preços 2017 - Região ABC e GRU'!$E$24&amp;'[30]Preços 2017 - Região ABC e GRU'!$F$24&amp;'[30]Preços 2017 - Região ABC e GRU'!$G$24</f>
        <v>20729Gestão Empresarial288,3248730964474,324873096446728418</v>
      </c>
      <c r="U26" s="25" t="b">
        <f t="shared" si="11"/>
        <v>1</v>
      </c>
      <c r="W26" s="25" t="str">
        <f t="shared" si="12"/>
        <v>20729Gestão Empresarial307,614213197974,6142131979695430318</v>
      </c>
      <c r="X26" s="25" t="str">
        <f>'Preços 2018 - Região ABC e GRU'!B24&amp;'Preços 2018 - Região ABC e GRU'!C24&amp;'Preços 2018 - Região ABC e GRU'!D24&amp;'Preços 2018 - Região ABC e GRU'!E24&amp;'Preços 2018 - Região ABC e GRU'!F24&amp;'Preços 2018 - Região ABC e GRU'!G24</f>
        <v>20729Gestão Empresarial294,4162436548224,4162436548223329018</v>
      </c>
      <c r="Y26" s="25" t="b">
        <f t="shared" si="13"/>
        <v>0</v>
      </c>
    </row>
    <row r="27" spans="1:31" s="25" customFormat="1" ht="12.75" customHeight="1" x14ac:dyDescent="0.2">
      <c r="A27" s="23"/>
      <c r="B27" s="34">
        <v>20830</v>
      </c>
      <c r="C27" s="32" t="s">
        <v>19</v>
      </c>
      <c r="D27" s="35">
        <f t="shared" si="16"/>
        <v>275.12690355329948</v>
      </c>
      <c r="E27" s="35">
        <f t="shared" si="3"/>
        <v>4.126903553299492</v>
      </c>
      <c r="F27" s="35">
        <f>'[30]Preços 2017 - Região ABC e GRU'!$F$25</f>
        <v>271</v>
      </c>
      <c r="G27" s="82">
        <f>'[30]Preços 2017 - Região ABC e GRU'!$G$25</f>
        <v>18</v>
      </c>
      <c r="H27" s="23"/>
      <c r="I27" s="43">
        <f t="shared" si="17"/>
        <v>293.40101522842639</v>
      </c>
      <c r="J27" s="43">
        <f t="shared" si="18"/>
        <v>4.4010152284263953</v>
      </c>
      <c r="K27" s="43">
        <f t="shared" si="4"/>
        <v>289</v>
      </c>
      <c r="L27" s="91">
        <f t="shared" si="5"/>
        <v>18</v>
      </c>
      <c r="M27"/>
      <c r="N27" s="92">
        <f t="shared" si="6"/>
        <v>0</v>
      </c>
      <c r="O27" s="57">
        <f t="shared" si="7"/>
        <v>1.4999999999999998E-2</v>
      </c>
      <c r="P27" s="57">
        <f t="shared" si="8"/>
        <v>6.6420664206642055E-2</v>
      </c>
      <c r="Q27" s="57">
        <f t="shared" si="9"/>
        <v>6.6420664206642055E-2</v>
      </c>
      <c r="S27" s="25" t="str">
        <f t="shared" si="10"/>
        <v>20830Gestão Estratégica da Tecnologia da Informação 275,1269035532994,1269035532994927118</v>
      </c>
      <c r="T27" s="25" t="str">
        <f>'[30]Preços 2017 - Região ABC e GRU'!$B$25&amp;'[30]Preços 2017 - Região ABC e GRU'!$C$25&amp;'[30]Preços 2017 - Região ABC e GRU'!$D$25&amp;'[30]Preços 2017 - Região ABC e GRU'!$E$25&amp;'[30]Preços 2017 - Região ABC e GRU'!$F$25&amp;'[30]Preços 2017 - Região ABC e GRU'!$G$25</f>
        <v>20830Gestão Estratégica da Tecnologia da Informação 275,1269035532994,1269035532994927118</v>
      </c>
      <c r="U27" s="25" t="b">
        <f t="shared" si="11"/>
        <v>1</v>
      </c>
      <c r="W27" s="25" t="str">
        <f t="shared" si="12"/>
        <v>20830Gestão Estratégica da Tecnologia da Informação 293,4010152284264,401015228426428918</v>
      </c>
      <c r="X27" s="25" t="str">
        <f>'Preços 2018 - Região ABC e GRU'!B25&amp;'Preços 2018 - Região ABC e GRU'!C25&amp;'Preços 2018 - Região ABC e GRU'!D25&amp;'Preços 2018 - Região ABC e GRU'!E25&amp;'Preços 2018 - Região ABC e GRU'!F25&amp;'Preços 2018 - Região ABC e GRU'!G25</f>
        <v>20830Gestão Estratégica da Tecnologia da Informação 294,4162436548224,4162436548223329018</v>
      </c>
      <c r="Y27" s="25" t="b">
        <f t="shared" si="13"/>
        <v>0</v>
      </c>
    </row>
    <row r="28" spans="1:31" s="25" customFormat="1" ht="12.75" customHeight="1" x14ac:dyDescent="0.2">
      <c r="A28" s="23"/>
      <c r="B28" s="34">
        <v>20007</v>
      </c>
      <c r="C28" s="32" t="s">
        <v>7</v>
      </c>
      <c r="D28" s="35">
        <f t="shared" si="16"/>
        <v>291.37055837563452</v>
      </c>
      <c r="E28" s="35">
        <f t="shared" si="3"/>
        <v>4.3705583756345172</v>
      </c>
      <c r="F28" s="35">
        <f>'[30]Preços 2017 - Região ABC e GRU'!$F$26</f>
        <v>287</v>
      </c>
      <c r="G28" s="82">
        <f>'[30]Preços 2017 - Região ABC e GRU'!$G$26</f>
        <v>18</v>
      </c>
      <c r="H28" s="23"/>
      <c r="I28" s="43">
        <f t="shared" si="17"/>
        <v>310.65989847715736</v>
      </c>
      <c r="J28" s="43">
        <f t="shared" si="18"/>
        <v>4.6598984771573599</v>
      </c>
      <c r="K28" s="43">
        <f t="shared" si="4"/>
        <v>306</v>
      </c>
      <c r="L28" s="91">
        <f t="shared" si="5"/>
        <v>18</v>
      </c>
      <c r="M28"/>
      <c r="N28" s="92">
        <f t="shared" si="6"/>
        <v>0</v>
      </c>
      <c r="O28" s="57">
        <f t="shared" si="7"/>
        <v>1.4999999999999999E-2</v>
      </c>
      <c r="P28" s="57">
        <f t="shared" si="8"/>
        <v>6.6202090592334395E-2</v>
      </c>
      <c r="Q28" s="57">
        <f t="shared" si="9"/>
        <v>6.6202090592334395E-2</v>
      </c>
      <c r="S28" s="25" t="str">
        <f t="shared" si="10"/>
        <v>20007Gestão Estratégica de Pessoas e Psicologia Organizacional291,3705583756354,3705583756345228718</v>
      </c>
      <c r="T28" s="25" t="str">
        <f>'[30]Preços 2017 - Região ABC e GRU'!$B$26&amp;'[30]Preços 2017 - Região ABC e GRU'!$C$26&amp;'[30]Preços 2017 - Região ABC e GRU'!$D$26&amp;'[30]Preços 2017 - Região ABC e GRU'!$E$26&amp;'[30]Preços 2017 - Região ABC e GRU'!$F$26&amp;'[30]Preços 2017 - Região ABC e GRU'!$G$26</f>
        <v>20007Gestão Estratégica de Pessoas e Psicologia Organizacional291,3705583756354,3705583756345228718</v>
      </c>
      <c r="U28" s="25" t="b">
        <f t="shared" si="11"/>
        <v>1</v>
      </c>
      <c r="W28" s="25" t="str">
        <f t="shared" si="12"/>
        <v>20007Gestão Estratégica de Pessoas e Psicologia Organizacional310,6598984771574,6598984771573630618</v>
      </c>
      <c r="X28" s="25" t="str">
        <f>'Preços 2018 - Região ABC e GRU'!B26&amp;'Preços 2018 - Região ABC e GRU'!C26&amp;'Preços 2018 - Região ABC e GRU'!D26&amp;'Preços 2018 - Região ABC e GRU'!E26&amp;'Preços 2018 - Região ABC e GRU'!F26&amp;'Preços 2018 - Região ABC e GRU'!G26</f>
        <v>20007Gestão Estratégica de Pessoas e Psicologia Organizacional294,4162436548224,4162436548223329018</v>
      </c>
      <c r="Y28" s="25" t="b">
        <f t="shared" si="13"/>
        <v>0</v>
      </c>
    </row>
    <row r="29" spans="1:31" s="25" customFormat="1" ht="12.75" customHeight="1" x14ac:dyDescent="0.2">
      <c r="A29" s="23"/>
      <c r="B29" s="34">
        <v>20833</v>
      </c>
      <c r="C29" s="32" t="s">
        <v>43</v>
      </c>
      <c r="D29" s="35">
        <f t="shared" si="16"/>
        <v>293.40101522842639</v>
      </c>
      <c r="E29" s="35">
        <f t="shared" si="3"/>
        <v>4.4010152284263953</v>
      </c>
      <c r="F29" s="35">
        <f>'[30]Preços 2017 - Região ABC e GRU'!$F$27</f>
        <v>289</v>
      </c>
      <c r="G29" s="82">
        <f>'[30]Preços 2017 - Região ABC e GRU'!$G$27</f>
        <v>18</v>
      </c>
      <c r="H29" s="23"/>
      <c r="I29" s="43">
        <f t="shared" si="17"/>
        <v>312.69035532994923</v>
      </c>
      <c r="J29" s="43">
        <f t="shared" si="18"/>
        <v>4.690355329949238</v>
      </c>
      <c r="K29" s="43">
        <f t="shared" si="4"/>
        <v>308</v>
      </c>
      <c r="L29" s="91">
        <f t="shared" si="5"/>
        <v>18</v>
      </c>
      <c r="M29"/>
      <c r="N29" s="92">
        <f t="shared" si="6"/>
        <v>0</v>
      </c>
      <c r="O29" s="57">
        <f t="shared" si="7"/>
        <v>1.4999999999999999E-2</v>
      </c>
      <c r="P29" s="57">
        <f t="shared" si="8"/>
        <v>6.5743944636678098E-2</v>
      </c>
      <c r="Q29" s="57">
        <f t="shared" si="9"/>
        <v>6.5743944636678098E-2</v>
      </c>
      <c r="S29" s="25" t="str">
        <f t="shared" si="10"/>
        <v>20833Gestão Inteligente: Liderança, Coaching e Inovação293,4010152284264,401015228426428918</v>
      </c>
      <c r="T29" s="25" t="str">
        <f>'[30]Preços 2017 - Região ABC e GRU'!$B$27&amp;'[30]Preços 2017 - Região ABC e GRU'!$C$27&amp;'[30]Preços 2017 - Região ABC e GRU'!$D$27&amp;'[30]Preços 2017 - Região ABC e GRU'!$E$27&amp;'[30]Preços 2017 - Região ABC e GRU'!$F$27&amp;'[30]Preços 2017 - Região ABC e GRU'!$G$27</f>
        <v>20833Gestão Inteligente: Liderança, Coaching e Inovação293,4010152284264,401015228426428918</v>
      </c>
      <c r="U29" s="25" t="b">
        <f t="shared" si="11"/>
        <v>1</v>
      </c>
      <c r="W29" s="25" t="str">
        <f t="shared" si="12"/>
        <v>20833Gestão Inteligente: Liderança, Coaching e Inovação312,6903553299494,6903553299492430818</v>
      </c>
      <c r="X29" s="25" t="str">
        <f>'Preços 2018 - Região ABC e GRU'!B27&amp;'Preços 2018 - Região ABC e GRU'!C27&amp;'Preços 2018 - Região ABC e GRU'!D27&amp;'Preços 2018 - Região ABC e GRU'!E27&amp;'Preços 2018 - Região ABC e GRU'!F27&amp;'Preços 2018 - Região ABC e GRU'!G27</f>
        <v>20833Gestão Inteligente: Liderança, Coaching e Inovação294,4162436548224,4162436548223329018</v>
      </c>
      <c r="Y29" s="25" t="b">
        <f t="shared" si="13"/>
        <v>0</v>
      </c>
    </row>
    <row r="30" spans="1:31" s="25" customFormat="1" ht="12.75" customHeight="1" x14ac:dyDescent="0.2">
      <c r="A30" s="23"/>
      <c r="B30" s="34">
        <v>20817</v>
      </c>
      <c r="C30" s="32" t="s">
        <v>17</v>
      </c>
      <c r="D30" s="35">
        <f t="shared" si="16"/>
        <v>310.65989847715736</v>
      </c>
      <c r="E30" s="35">
        <f t="shared" si="3"/>
        <v>4.6598984771573599</v>
      </c>
      <c r="F30" s="35">
        <f>'[30]Preços 2017 - Região ABC e GRU'!$F$28</f>
        <v>306</v>
      </c>
      <c r="G30" s="82">
        <f>'[30]Preços 2017 - Região ABC e GRU'!$G$28</f>
        <v>18</v>
      </c>
      <c r="H30" s="23"/>
      <c r="I30" s="43">
        <f t="shared" si="17"/>
        <v>330.96446700507613</v>
      </c>
      <c r="J30" s="43">
        <f t="shared" si="18"/>
        <v>4.9644670050761421</v>
      </c>
      <c r="K30" s="43">
        <f t="shared" si="4"/>
        <v>326</v>
      </c>
      <c r="L30" s="91">
        <f t="shared" si="5"/>
        <v>18</v>
      </c>
      <c r="M30"/>
      <c r="N30" s="92">
        <f t="shared" si="6"/>
        <v>0</v>
      </c>
      <c r="O30" s="57">
        <f t="shared" si="7"/>
        <v>1.5000000000000001E-2</v>
      </c>
      <c r="P30" s="57">
        <f t="shared" si="8"/>
        <v>6.5359477124182996E-2</v>
      </c>
      <c r="Q30" s="57">
        <f t="shared" si="9"/>
        <v>6.5359477124182996E-2</v>
      </c>
      <c r="S30" s="25" t="str">
        <f t="shared" si="10"/>
        <v>20817Logística Empresarial e Supply Chain310,6598984771574,6598984771573630618</v>
      </c>
      <c r="T30" s="25" t="str">
        <f>'[30]Preços 2017 - Região ABC e GRU'!$B$28&amp;'[30]Preços 2017 - Região ABC e GRU'!$C$28&amp;'[30]Preços 2017 - Região ABC e GRU'!$D$28&amp;'[30]Preços 2017 - Região ABC e GRU'!$E$28&amp;'[30]Preços 2017 - Região ABC e GRU'!$F$28&amp;'[30]Preços 2017 - Região ABC e GRU'!$G$28</f>
        <v>20817Logística Empresarial e Supply Chain310,6598984771574,6598984771573630618</v>
      </c>
      <c r="U30" s="25" t="b">
        <f t="shared" si="11"/>
        <v>1</v>
      </c>
      <c r="W30" s="25" t="str">
        <f t="shared" si="12"/>
        <v>20817Logística Empresarial e Supply Chain330,9644670050764,9644670050761432618</v>
      </c>
      <c r="X30" s="25" t="str">
        <f>'Preços 2018 - Região ABC e GRU'!B28&amp;'Preços 2018 - Região ABC e GRU'!C28&amp;'Preços 2018 - Região ABC e GRU'!D28&amp;'Preços 2018 - Região ABC e GRU'!E28&amp;'Preços 2018 - Região ABC e GRU'!F28&amp;'Preços 2018 - Região ABC e GRU'!G28</f>
        <v>20817Logística Empresarial e Supply Chain294,4162436548224,4162436548223329018</v>
      </c>
      <c r="Y30" s="25" t="b">
        <f t="shared" si="13"/>
        <v>0</v>
      </c>
    </row>
    <row r="31" spans="1:31" s="30" customFormat="1" ht="12.75" customHeight="1" x14ac:dyDescent="0.2">
      <c r="B31" s="34">
        <v>20012</v>
      </c>
      <c r="C31" s="32" t="s">
        <v>13</v>
      </c>
      <c r="D31" s="35">
        <f t="shared" si="16"/>
        <v>291.37055837563452</v>
      </c>
      <c r="E31" s="35">
        <f t="shared" si="3"/>
        <v>4.3705583756345172</v>
      </c>
      <c r="F31" s="35">
        <f>'[30]Preços 2017 - Região ABC e GRU'!$F$29</f>
        <v>287</v>
      </c>
      <c r="G31" s="82">
        <f>'[30]Preços 2017 - Região ABC e GRU'!$G$29</f>
        <v>18</v>
      </c>
      <c r="I31" s="43">
        <f t="shared" ref="I31" si="19">K31/(1-$M$4)</f>
        <v>310.65989847715736</v>
      </c>
      <c r="J31" s="43">
        <f t="shared" ref="J31" si="20">I31*$M$4</f>
        <v>4.6598984771573599</v>
      </c>
      <c r="K31" s="43">
        <f t="shared" si="4"/>
        <v>306</v>
      </c>
      <c r="L31" s="91">
        <f t="shared" si="5"/>
        <v>18</v>
      </c>
      <c r="M31" s="61"/>
      <c r="N31" s="92">
        <f t="shared" si="6"/>
        <v>0</v>
      </c>
      <c r="O31" s="57">
        <f t="shared" si="7"/>
        <v>1.4999999999999999E-2</v>
      </c>
      <c r="P31" s="57">
        <f t="shared" si="8"/>
        <v>6.6202090592334395E-2</v>
      </c>
      <c r="Q31" s="57">
        <f t="shared" si="9"/>
        <v>6.6202090592334395E-2</v>
      </c>
      <c r="S31" s="25" t="str">
        <f t="shared" si="10"/>
        <v>20012Marketing291,3705583756354,3705583756345228718</v>
      </c>
      <c r="T31" s="25" t="str">
        <f>'[30]Preços 2017 - Região ABC e GRU'!$B$29&amp;'[30]Preços 2017 - Região ABC e GRU'!$C$29&amp;'[30]Preços 2017 - Região ABC e GRU'!$D$29&amp;'[30]Preços 2017 - Região ABC e GRU'!$E$29&amp;'[30]Preços 2017 - Região ABC e GRU'!$F$29&amp;'[30]Preços 2017 - Região ABC e GRU'!$G$29</f>
        <v>20012Marketing291,3705583756354,3705583756345228718</v>
      </c>
      <c r="U31" s="25" t="b">
        <f t="shared" si="11"/>
        <v>1</v>
      </c>
      <c r="W31" s="25" t="str">
        <f t="shared" si="12"/>
        <v>20012Marketing310,6598984771574,6598984771573630618</v>
      </c>
      <c r="X31" s="25" t="str">
        <f>'Preços 2018 - Região ABC e GRU'!B29&amp;'Preços 2018 - Região ABC e GRU'!C29&amp;'Preços 2018 - Região ABC e GRU'!D29&amp;'Preços 2018 - Região ABC e GRU'!E29&amp;'Preços 2018 - Região ABC e GRU'!F29&amp;'Preços 2018 - Região ABC e GRU'!G29</f>
        <v>20012Marketing294,4162436548224,4162436548223329018</v>
      </c>
      <c r="Y31" s="25" t="b">
        <f t="shared" si="13"/>
        <v>0</v>
      </c>
      <c r="AE31" s="25"/>
    </row>
    <row r="32" spans="1:31" s="25" customFormat="1" ht="12.75" customHeight="1" x14ac:dyDescent="0.2">
      <c r="A32" s="23"/>
      <c r="B32" s="34">
        <v>20816</v>
      </c>
      <c r="C32" s="32" t="s">
        <v>18</v>
      </c>
      <c r="D32" s="35">
        <f t="shared" si="16"/>
        <v>302.53807106598987</v>
      </c>
      <c r="E32" s="35">
        <f t="shared" si="3"/>
        <v>4.5380710659898478</v>
      </c>
      <c r="F32" s="35">
        <f>'[30]Preços 2017 - Região ABC e GRU'!$F$30</f>
        <v>298</v>
      </c>
      <c r="G32" s="82">
        <f>'[30]Preços 2017 - Região ABC e GRU'!$G$30</f>
        <v>18</v>
      </c>
      <c r="H32" s="23"/>
      <c r="I32" s="43">
        <f>K32/(1-$M$4)</f>
        <v>322.84263959390864</v>
      </c>
      <c r="J32" s="43">
        <f>I32*$M$4</f>
        <v>4.8426395939086291</v>
      </c>
      <c r="K32" s="43">
        <f t="shared" si="4"/>
        <v>318</v>
      </c>
      <c r="L32" s="91">
        <f t="shared" si="5"/>
        <v>18</v>
      </c>
      <c r="M32"/>
      <c r="N32" s="92">
        <f t="shared" si="6"/>
        <v>0</v>
      </c>
      <c r="O32" s="57">
        <f t="shared" si="7"/>
        <v>1.4999999999999998E-2</v>
      </c>
      <c r="P32" s="57">
        <f t="shared" si="8"/>
        <v>6.7114093959731447E-2</v>
      </c>
      <c r="Q32" s="57">
        <f t="shared" si="9"/>
        <v>6.7114093959731447E-2</v>
      </c>
      <c r="S32" s="25" t="str">
        <f t="shared" si="10"/>
        <v>20816MBA - Gestão de Varejo302,538071065994,5380710659898529818</v>
      </c>
      <c r="T32" s="25" t="str">
        <f>'[30]Preços 2017 - Região ABC e GRU'!$B$30&amp;'[30]Preços 2017 - Região ABC e GRU'!$C$30&amp;'[30]Preços 2017 - Região ABC e GRU'!$D$30&amp;'[30]Preços 2017 - Região ABC e GRU'!$E$30&amp;'[30]Preços 2017 - Região ABC e GRU'!$F$30&amp;'[30]Preços 2017 - Região ABC e GRU'!$G$30</f>
        <v>20816MBA - Gestão de Varejo302,538071065994,5380710659898529818</v>
      </c>
      <c r="U32" s="25" t="b">
        <f t="shared" si="11"/>
        <v>1</v>
      </c>
      <c r="W32" s="25" t="str">
        <f t="shared" si="12"/>
        <v>20816MBA - Gestão de Varejo322,8426395939094,8426395939086331818</v>
      </c>
      <c r="X32" s="25" t="str">
        <f>'Preços 2018 - Região ABC e GRU'!B30&amp;'Preços 2018 - Região ABC e GRU'!C30&amp;'Preços 2018 - Região ABC e GRU'!D30&amp;'Preços 2018 - Região ABC e GRU'!E30&amp;'Preços 2018 - Região ABC e GRU'!F30&amp;'Preços 2018 - Região ABC e GRU'!G30</f>
        <v>20816MBA - Gestão de Varejo294,4162436548224,4162436548223329018</v>
      </c>
      <c r="Y32" s="25" t="b">
        <f t="shared" si="13"/>
        <v>0</v>
      </c>
    </row>
    <row r="33" spans="1:31" s="25" customFormat="1" ht="12.75" customHeight="1" x14ac:dyDescent="0.2">
      <c r="A33" s="23"/>
      <c r="B33" s="54">
        <v>20026</v>
      </c>
      <c r="C33" s="32" t="s">
        <v>41</v>
      </c>
      <c r="D33" s="35">
        <f t="shared" si="16"/>
        <v>275.12690355329948</v>
      </c>
      <c r="E33" s="35">
        <f t="shared" si="3"/>
        <v>4.126903553299492</v>
      </c>
      <c r="F33" s="35">
        <f>'[30]Preços 2017 - Região ABC e GRU'!$F$31</f>
        <v>271</v>
      </c>
      <c r="G33" s="82">
        <f>'[30]Preços 2017 - Região ABC e GRU'!$G$31</f>
        <v>18</v>
      </c>
      <c r="H33" s="23"/>
      <c r="I33" s="43">
        <f>K33/(1-$M$4)</f>
        <v>293.40101522842639</v>
      </c>
      <c r="J33" s="43">
        <f>I33*$M$4</f>
        <v>4.4010152284263953</v>
      </c>
      <c r="K33" s="43">
        <f t="shared" si="4"/>
        <v>289</v>
      </c>
      <c r="L33" s="91">
        <f t="shared" si="5"/>
        <v>18</v>
      </c>
      <c r="M33"/>
      <c r="N33" s="92">
        <f t="shared" si="6"/>
        <v>0</v>
      </c>
      <c r="O33" s="57">
        <f t="shared" si="7"/>
        <v>1.4999999999999998E-2</v>
      </c>
      <c r="P33" s="57">
        <f t="shared" si="8"/>
        <v>6.6420664206642055E-2</v>
      </c>
      <c r="Q33" s="57">
        <f t="shared" si="9"/>
        <v>6.6420664206642055E-2</v>
      </c>
      <c r="S33" s="25" t="str">
        <f t="shared" si="10"/>
        <v>20026Mediação e Arbitragem275,1269035532994,1269035532994927118</v>
      </c>
      <c r="T33" s="25" t="str">
        <f>'[30]Preços 2017 - Região ABC e GRU'!$B$31&amp;'[30]Preços 2017 - Região ABC e GRU'!$C$31&amp;'[30]Preços 2017 - Região ABC e GRU'!$D$31&amp;'[30]Preços 2017 - Região ABC e GRU'!$E$31&amp;'[30]Preços 2017 - Região ABC e GRU'!$F$31&amp;'[30]Preços 2017 - Região ABC e GRU'!$G$31</f>
        <v>20026Mediação e Arbitragem275,1269035532994,1269035532994927118</v>
      </c>
      <c r="U33" s="25" t="b">
        <f t="shared" si="11"/>
        <v>1</v>
      </c>
      <c r="W33" s="25" t="str">
        <f t="shared" si="12"/>
        <v>20026Mediação e Arbitragem293,4010152284264,401015228426428918</v>
      </c>
      <c r="X33" s="25" t="str">
        <f>'Preços 2018 - Região ABC e GRU'!B31&amp;'Preços 2018 - Região ABC e GRU'!C31&amp;'Preços 2018 - Região ABC e GRU'!D31&amp;'Preços 2018 - Região ABC e GRU'!E31&amp;'Preços 2018 - Região ABC e GRU'!F31&amp;'Preços 2018 - Região ABC e GRU'!G31</f>
        <v>20026Mediação e Arbitragem294,4162436548224,4162436548223329018</v>
      </c>
      <c r="Y33" s="25" t="b">
        <f t="shared" si="13"/>
        <v>0</v>
      </c>
    </row>
    <row r="34" spans="1:31" s="25" customFormat="1" ht="12.75" customHeight="1" x14ac:dyDescent="0.2">
      <c r="A34" s="23"/>
      <c r="B34" s="34">
        <v>20022</v>
      </c>
      <c r="C34" s="32" t="s">
        <v>48</v>
      </c>
      <c r="D34" s="35">
        <f t="shared" si="16"/>
        <v>288.32487309644671</v>
      </c>
      <c r="E34" s="35">
        <f t="shared" si="3"/>
        <v>4.3248730964467006</v>
      </c>
      <c r="F34" s="35">
        <f>'[30]Preços 2017 - Região ABC e GRU'!$F$32</f>
        <v>284</v>
      </c>
      <c r="G34" s="82">
        <f>'[30]Preços 2017 - Região ABC e GRU'!$G$32</f>
        <v>18</v>
      </c>
      <c r="H34" s="23"/>
      <c r="I34" s="43">
        <f>K34/(1-$M$4)</f>
        <v>307.61421319796955</v>
      </c>
      <c r="J34" s="43">
        <f>I34*$M$4</f>
        <v>4.6142131979695433</v>
      </c>
      <c r="K34" s="43">
        <f t="shared" si="4"/>
        <v>303</v>
      </c>
      <c r="L34" s="91">
        <f t="shared" si="5"/>
        <v>18</v>
      </c>
      <c r="M34"/>
      <c r="N34" s="92">
        <f t="shared" si="6"/>
        <v>0</v>
      </c>
      <c r="O34" s="57">
        <f t="shared" si="7"/>
        <v>1.5000000000000001E-2</v>
      </c>
      <c r="P34" s="57">
        <f t="shared" si="8"/>
        <v>6.6901408450704247E-2</v>
      </c>
      <c r="Q34" s="57">
        <f t="shared" si="9"/>
        <v>6.6901408450704247E-2</v>
      </c>
      <c r="S34" s="25" t="str">
        <f t="shared" si="10"/>
        <v>20022Português - Língua e Literatura288,3248730964474,324873096446728418</v>
      </c>
      <c r="T34" s="25" t="str">
        <f>'[30]Preços 2017 - Região ABC e GRU'!$B$32&amp;'[30]Preços 2017 - Região ABC e GRU'!$C$32&amp;'[30]Preços 2017 - Região ABC e GRU'!$D$32&amp;'[30]Preços 2017 - Região ABC e GRU'!$E$32&amp;'[30]Preços 2017 - Região ABC e GRU'!$F$32&amp;'[30]Preços 2017 - Região ABC e GRU'!$G$32</f>
        <v>20022Português - Língua e Literatura288,3248730964474,324873096446728418</v>
      </c>
      <c r="U34" s="25" t="b">
        <f t="shared" si="11"/>
        <v>1</v>
      </c>
      <c r="W34" s="25" t="str">
        <f t="shared" si="12"/>
        <v>20022Português - Língua e Literatura307,614213197974,6142131979695430318</v>
      </c>
      <c r="X34" s="25" t="str">
        <f>'Preços 2018 - Região ABC e GRU'!B32&amp;'Preços 2018 - Região ABC e GRU'!C32&amp;'Preços 2018 - Região ABC e GRU'!D32&amp;'Preços 2018 - Região ABC e GRU'!E32&amp;'Preços 2018 - Região ABC e GRU'!F32&amp;'Preços 2018 - Região ABC e GRU'!G32</f>
        <v>20022Português - Língua e Literatura294,4162436548224,4162436548223329018</v>
      </c>
      <c r="Y34" s="25" t="b">
        <f t="shared" si="13"/>
        <v>0</v>
      </c>
    </row>
    <row r="35" spans="1:31" s="30" customFormat="1" ht="12.75" customHeight="1" x14ac:dyDescent="0.2">
      <c r="B35" s="34">
        <v>20031</v>
      </c>
      <c r="C35" s="32" t="s">
        <v>23</v>
      </c>
      <c r="D35" s="35">
        <f t="shared" si="16"/>
        <v>292.38578680203045</v>
      </c>
      <c r="E35" s="35">
        <f t="shared" si="3"/>
        <v>4.3857868020304567</v>
      </c>
      <c r="F35" s="35">
        <f>'[30]Preços 2017 - Região ABC e GRU'!$F$33</f>
        <v>288</v>
      </c>
      <c r="G35" s="82">
        <f>'[30]Preços 2017 - Região ABC e GRU'!$G$33</f>
        <v>18</v>
      </c>
      <c r="I35" s="43">
        <f t="shared" ref="I35" si="21">K35/(1-$M$4)</f>
        <v>311.67512690355329</v>
      </c>
      <c r="J35" s="43">
        <f t="shared" ref="J35" si="22">I35*$M$4</f>
        <v>4.6751269035532994</v>
      </c>
      <c r="K35" s="43">
        <f t="shared" si="4"/>
        <v>307</v>
      </c>
      <c r="L35" s="91">
        <f t="shared" si="5"/>
        <v>18</v>
      </c>
      <c r="M35" s="61"/>
      <c r="N35" s="92">
        <f t="shared" si="6"/>
        <v>0</v>
      </c>
      <c r="O35" s="57">
        <f t="shared" si="7"/>
        <v>1.4999999999999999E-2</v>
      </c>
      <c r="P35" s="57">
        <f t="shared" si="8"/>
        <v>6.5972222222222321E-2</v>
      </c>
      <c r="Q35" s="57">
        <f t="shared" si="9"/>
        <v>6.5972222222222321E-2</v>
      </c>
      <c r="S35" s="25" t="str">
        <f t="shared" si="10"/>
        <v>20031Prática de Ensino de Ciências para Educação Infantil e Fundamental I292,385786802034,3857868020304628818</v>
      </c>
      <c r="T35" s="25" t="str">
        <f>'[30]Preços 2017 - Região ABC e GRU'!$B$33&amp;'[30]Preços 2017 - Região ABC e GRU'!$C$33&amp;'[30]Preços 2017 - Região ABC e GRU'!$D$33&amp;'[30]Preços 2017 - Região ABC e GRU'!$E$33&amp;'[30]Preços 2017 - Região ABC e GRU'!$F$33&amp;'[30]Preços 2017 - Região ABC e GRU'!$G$33</f>
        <v>20031Prática de Ensino de Ciências para Educação Infantil e Fundamental I292,385786802034,3857868020304628818</v>
      </c>
      <c r="U35" s="25" t="b">
        <f t="shared" si="11"/>
        <v>1</v>
      </c>
      <c r="W35" s="25" t="str">
        <f t="shared" si="12"/>
        <v>20031Prática de Ensino de Ciências para Educação Infantil e Fundamental I311,6751269035534,675126903553330718</v>
      </c>
      <c r="X35" s="25" t="str">
        <f>'Preços 2018 - Região ABC e GRU'!B33&amp;'Preços 2018 - Região ABC e GRU'!C33&amp;'Preços 2018 - Região ABC e GRU'!D33&amp;'Preços 2018 - Região ABC e GRU'!E33&amp;'Preços 2018 - Região ABC e GRU'!F33&amp;'Preços 2018 - Região ABC e GRU'!G33</f>
        <v>20031Prática de Ensino de Ciências para Educação Infantil e Fundamental I294,4162436548224,4162436548223329018</v>
      </c>
      <c r="Y35" s="25" t="b">
        <f t="shared" si="13"/>
        <v>0</v>
      </c>
      <c r="AE35" s="25"/>
    </row>
    <row r="36" spans="1:31" s="25" customFormat="1" ht="12.75" customHeight="1" x14ac:dyDescent="0.2">
      <c r="A36" s="45"/>
      <c r="B36" s="34">
        <v>20832</v>
      </c>
      <c r="C36" s="32" t="s">
        <v>44</v>
      </c>
      <c r="D36" s="35">
        <f t="shared" si="16"/>
        <v>302.53807106598987</v>
      </c>
      <c r="E36" s="35">
        <f t="shared" si="3"/>
        <v>4.5380710659898478</v>
      </c>
      <c r="F36" s="35">
        <f>'[30]Preços 2017 - Região ABC e GRU'!$F$34</f>
        <v>298</v>
      </c>
      <c r="G36" s="82">
        <f>'[30]Preços 2017 - Região ABC e GRU'!$G$34</f>
        <v>18</v>
      </c>
      <c r="H36" s="45"/>
      <c r="I36" s="43">
        <f>K36/(1-$M$4)</f>
        <v>322.84263959390864</v>
      </c>
      <c r="J36" s="43">
        <f>I36*$M$4</f>
        <v>4.8426395939086291</v>
      </c>
      <c r="K36" s="43">
        <f t="shared" si="4"/>
        <v>318</v>
      </c>
      <c r="L36" s="91">
        <f t="shared" si="5"/>
        <v>18</v>
      </c>
      <c r="M36"/>
      <c r="N36" s="92">
        <f t="shared" si="6"/>
        <v>0</v>
      </c>
      <c r="O36" s="57">
        <f t="shared" si="7"/>
        <v>1.4999999999999998E-2</v>
      </c>
      <c r="P36" s="57">
        <f t="shared" si="8"/>
        <v>6.7114093959731447E-2</v>
      </c>
      <c r="Q36" s="57">
        <f t="shared" si="9"/>
        <v>6.7114093959731447E-2</v>
      </c>
      <c r="S36" s="25" t="str">
        <f t="shared" si="10"/>
        <v>20832Profetismo Apocalíptico302,538071065994,5380710659898529818</v>
      </c>
      <c r="T36" s="25" t="str">
        <f>'[30]Preços 2017 - Região ABC e GRU'!$B$34&amp;'[30]Preços 2017 - Região ABC e GRU'!$C$34&amp;'[30]Preços 2017 - Região ABC e GRU'!$D$34&amp;'[30]Preços 2017 - Região ABC e GRU'!$E$34&amp;'[30]Preços 2017 - Região ABC e GRU'!$F$34&amp;'[30]Preços 2017 - Região ABC e GRU'!$G$34</f>
        <v>20832Profetismo Apocalíptico302,538071065994,5380710659898529818</v>
      </c>
      <c r="U36" s="25" t="b">
        <f t="shared" si="11"/>
        <v>1</v>
      </c>
      <c r="W36" s="25" t="str">
        <f t="shared" si="12"/>
        <v>20832Profetismo Apocalíptico322,8426395939094,8426395939086331818</v>
      </c>
      <c r="X36" s="25" t="str">
        <f>'Preços 2018 - Região ABC e GRU'!B34&amp;'Preços 2018 - Região ABC e GRU'!C34&amp;'Preços 2018 - Região ABC e GRU'!D34&amp;'Preços 2018 - Região ABC e GRU'!E34&amp;'Preços 2018 - Região ABC e GRU'!F34&amp;'Preços 2018 - Região ABC e GRU'!G34</f>
        <v>20832Profetismo Apocalíptico294,4162436548224,4162436548223329018</v>
      </c>
      <c r="Y36" s="25" t="b">
        <f t="shared" si="13"/>
        <v>0</v>
      </c>
    </row>
    <row r="37" spans="1:31" s="25" customFormat="1" ht="12.75" customHeight="1" x14ac:dyDescent="0.2">
      <c r="A37" s="23"/>
      <c r="B37" s="34">
        <v>20801</v>
      </c>
      <c r="C37" s="32" t="s">
        <v>10</v>
      </c>
      <c r="D37" s="35">
        <f t="shared" si="16"/>
        <v>288.32487309644671</v>
      </c>
      <c r="E37" s="35">
        <f t="shared" si="3"/>
        <v>4.3248730964467006</v>
      </c>
      <c r="F37" s="35">
        <f>'[30]Preços 2017 - Região ABC e GRU'!$F$35</f>
        <v>284</v>
      </c>
      <c r="G37" s="82">
        <f>'[30]Preços 2017 - Região ABC e GRU'!$G$35</f>
        <v>18</v>
      </c>
      <c r="H37" s="23"/>
      <c r="I37" s="43">
        <f>K37/(1-$M$4)</f>
        <v>307.61421319796955</v>
      </c>
      <c r="J37" s="43">
        <f>I37*$M$4</f>
        <v>4.6142131979695433</v>
      </c>
      <c r="K37" s="43">
        <f t="shared" si="4"/>
        <v>303</v>
      </c>
      <c r="L37" s="91">
        <f t="shared" si="5"/>
        <v>18</v>
      </c>
      <c r="M37"/>
      <c r="N37" s="92">
        <f t="shared" si="6"/>
        <v>0</v>
      </c>
      <c r="O37" s="57">
        <f t="shared" si="7"/>
        <v>1.5000000000000001E-2</v>
      </c>
      <c r="P37" s="57">
        <f t="shared" si="8"/>
        <v>6.6901408450704247E-2</v>
      </c>
      <c r="Q37" s="57">
        <f t="shared" si="9"/>
        <v>6.6901408450704247E-2</v>
      </c>
      <c r="S37" s="25" t="str">
        <f t="shared" si="10"/>
        <v>20801Psicopedagogia288,3248730964474,324873096446728418</v>
      </c>
      <c r="T37" s="25" t="str">
        <f>'[30]Preços 2017 - Região ABC e GRU'!$B$35&amp;'[30]Preços 2017 - Região ABC e GRU'!$C$35&amp;'[30]Preços 2017 - Região ABC e GRU'!$D$35&amp;'[30]Preços 2017 - Região ABC e GRU'!$E$35&amp;'[30]Preços 2017 - Região ABC e GRU'!$F$35&amp;'[30]Preços 2017 - Região ABC e GRU'!$G$35</f>
        <v>20801Psicopedagogia288,3248730964474,324873096446728418</v>
      </c>
      <c r="U37" s="25" t="b">
        <f t="shared" si="11"/>
        <v>1</v>
      </c>
      <c r="W37" s="25" t="str">
        <f t="shared" si="12"/>
        <v>20801Psicopedagogia307,614213197974,6142131979695430318</v>
      </c>
      <c r="X37" s="25" t="str">
        <f>'Preços 2018 - Região ABC e GRU'!B35&amp;'Preços 2018 - Região ABC e GRU'!C35&amp;'Preços 2018 - Região ABC e GRU'!D35&amp;'Preços 2018 - Região ABC e GRU'!E35&amp;'Preços 2018 - Região ABC e GRU'!F35&amp;'Preços 2018 - Região ABC e GRU'!G35</f>
        <v>20801Psicopedagogia294,4162436548224,4162436548223329018</v>
      </c>
      <c r="Y37" s="25" t="b">
        <f t="shared" si="13"/>
        <v>0</v>
      </c>
    </row>
    <row r="38" spans="1:31" s="30" customFormat="1" ht="12.75" customHeight="1" x14ac:dyDescent="0.2">
      <c r="B38" s="54">
        <v>20023</v>
      </c>
      <c r="C38" s="32" t="s">
        <v>49</v>
      </c>
      <c r="D38" s="35">
        <f>F38/(1-$G$4)</f>
        <v>391.87817258883251</v>
      </c>
      <c r="E38" s="35">
        <f>D38*$G$4</f>
        <v>5.8781725888324878</v>
      </c>
      <c r="F38" s="35">
        <f>'[30]Preços 2017 - Região ABC e GRU'!$F$36</f>
        <v>386</v>
      </c>
      <c r="G38" s="82">
        <f>'[30]Preços 2017 - Região ABC e GRU'!$G$36</f>
        <v>18</v>
      </c>
      <c r="I38" s="43">
        <f t="shared" ref="I38" si="23">K38/(1-$M$4)</f>
        <v>418.2741116751269</v>
      </c>
      <c r="J38" s="43">
        <f t="shared" ref="J38" si="24">I38*$M$4</f>
        <v>6.2741116751269033</v>
      </c>
      <c r="K38" s="43">
        <f t="shared" si="4"/>
        <v>412</v>
      </c>
      <c r="L38" s="91">
        <f t="shared" si="5"/>
        <v>18</v>
      </c>
      <c r="M38" s="61"/>
      <c r="N38" s="92">
        <f t="shared" si="6"/>
        <v>0</v>
      </c>
      <c r="O38" s="57">
        <f t="shared" si="7"/>
        <v>1.4999999999999999E-2</v>
      </c>
      <c r="P38" s="57">
        <f t="shared" si="8"/>
        <v>6.7357512953367893E-2</v>
      </c>
      <c r="Q38" s="57">
        <f t="shared" si="9"/>
        <v>6.7357512953367893E-2</v>
      </c>
      <c r="S38" s="25" t="str">
        <f t="shared" si="10"/>
        <v>20023Relações Trabalhistas e Gestão do Passivo391,8781725888335,8781725888324938618</v>
      </c>
      <c r="T38" s="25" t="str">
        <f>'[30]Preços 2017 - Região ABC e GRU'!$B$36&amp;'[30]Preços 2017 - Região ABC e GRU'!$C$36&amp;'[30]Preços 2017 - Região ABC e GRU'!$D$36&amp;'[30]Preços 2017 - Região ABC e GRU'!$E$36&amp;'[30]Preços 2017 - Região ABC e GRU'!$F$36&amp;'[30]Preços 2017 - Região ABC e GRU'!$G$36</f>
        <v>20023Relações Trabalhistas e Gestão do Passivo391,8781725888335,8781725888324938618</v>
      </c>
      <c r="U38" s="25" t="b">
        <f t="shared" si="11"/>
        <v>1</v>
      </c>
      <c r="W38" s="25" t="str">
        <f t="shared" si="12"/>
        <v>20023Relações Trabalhistas e Gestão do Passivo418,2741116751276,274111675126941218</v>
      </c>
      <c r="X38" s="25" t="e">
        <f>'Preços 2018 - Região ABC e GRU'!B36&amp;'Preços 2018 - Região ABC e GRU'!C36&amp;'Preços 2018 - Região ABC e GRU'!#REF!&amp;'Preços 2018 - Região ABC e GRU'!#REF!&amp;'Preços 2018 - Região ABC e GRU'!#REF!&amp;'Preços 2018 - Região ABC e GRU'!#REF!</f>
        <v>#REF!</v>
      </c>
      <c r="Y38" s="25" t="e">
        <f t="shared" si="13"/>
        <v>#REF!</v>
      </c>
      <c r="AE38" s="25"/>
    </row>
    <row r="39" spans="1:31" s="25" customFormat="1" ht="16.899999999999999" customHeight="1" x14ac:dyDescent="0.2">
      <c r="A39" s="23"/>
      <c r="B39" s="26"/>
      <c r="C39" s="27"/>
      <c r="D39" s="28"/>
      <c r="E39" s="28"/>
      <c r="F39" s="28"/>
      <c r="G39" s="29"/>
      <c r="H39" s="23"/>
      <c r="I39" s="24"/>
      <c r="J39" s="24"/>
      <c r="M39"/>
    </row>
    <row r="40" spans="1:31" x14ac:dyDescent="0.2">
      <c r="A40" s="13"/>
      <c r="B40" s="85"/>
      <c r="C40" s="86" t="s">
        <v>326</v>
      </c>
      <c r="D40" s="93" t="s">
        <v>334</v>
      </c>
      <c r="E40" s="87"/>
      <c r="F40" s="87"/>
      <c r="G40" s="87"/>
      <c r="H40" s="13"/>
      <c r="I40" s="88"/>
      <c r="J40" s="88"/>
      <c r="K40" s="88"/>
      <c r="L40" s="88"/>
      <c r="M40" s="88"/>
      <c r="N40" s="88"/>
      <c r="O40" s="88"/>
      <c r="P40" s="88"/>
      <c r="Q40" s="88"/>
      <c r="R40"/>
      <c r="S40" s="88"/>
      <c r="T40" s="88"/>
      <c r="U40" s="88"/>
      <c r="V40" s="88"/>
      <c r="W40" s="88"/>
      <c r="X40" s="88"/>
      <c r="Y40" s="94"/>
    </row>
    <row r="41" spans="1:31" x14ac:dyDescent="0.2">
      <c r="B41" s="34">
        <v>20818</v>
      </c>
      <c r="C41" s="32" t="s">
        <v>14</v>
      </c>
      <c r="D41" s="35">
        <f>F41/(1-$G$4)</f>
        <v>274.11167512690355</v>
      </c>
      <c r="E41" s="35">
        <f>D41*$G$4</f>
        <v>4.1116751269035534</v>
      </c>
      <c r="F41" s="35">
        <f>'[30]Preços 2017 - Região S e SE'!$F$8</f>
        <v>270</v>
      </c>
      <c r="G41" s="82">
        <f>'[30]Preços 2017 - Região S e SE'!$G$8</f>
        <v>18</v>
      </c>
      <c r="H41" s="23"/>
      <c r="I41" s="43">
        <f t="shared" ref="I41:I48" si="25">K41/(1-$M$4)</f>
        <v>292.38578680203045</v>
      </c>
      <c r="J41" s="43">
        <f t="shared" ref="J41:J48" si="26">I41*$M$4</f>
        <v>4.3857868020304567</v>
      </c>
      <c r="K41" s="43">
        <f>IFERROR(ROUNDUP(K10*0.9,0),0)</f>
        <v>288</v>
      </c>
      <c r="L41" s="91">
        <f>G41</f>
        <v>18</v>
      </c>
      <c r="N41" s="92">
        <f t="shared" ref="N41" si="27">I41-J41-K41</f>
        <v>0</v>
      </c>
      <c r="O41" s="57">
        <f t="shared" ref="O41" si="28">J41/I41</f>
        <v>1.4999999999999999E-2</v>
      </c>
      <c r="P41" s="57">
        <f t="shared" ref="P41" si="29">I41/D41-1</f>
        <v>6.6666666666666652E-2</v>
      </c>
      <c r="Q41" s="57">
        <f t="shared" ref="Q41" si="30">K41/F41-1</f>
        <v>6.6666666666666652E-2</v>
      </c>
      <c r="S41" s="25" t="str">
        <f>B41&amp;C41&amp;D41&amp;E41&amp;F41&amp;G41</f>
        <v>20818Aconselhamento Pastoral274,1116751269044,1116751269035527018</v>
      </c>
      <c r="T41" s="25" t="str">
        <f>'[30]Preços 2017 - Região S e SE'!$B$8&amp;'[30]Preços 2017 - Região S e SE'!$C$8&amp;'[30]Preços 2017 - Região S e SE'!$D$8&amp;'[30]Preços 2017 - Região S e SE'!$E$8&amp;'[30]Preços 2017 - Região S e SE'!$F$8&amp;'[30]Preços 2017 - Região S e SE'!$G$8</f>
        <v>20818Aconselhamento Pastoral274,1116751269044,1116751269035527018</v>
      </c>
      <c r="U41" s="25" t="b">
        <f>S41=T41</f>
        <v>1</v>
      </c>
      <c r="W41" s="25" t="str">
        <f t="shared" ref="W41" si="31">B41&amp;C41&amp;I41&amp;J41&amp;K41&amp;L41</f>
        <v>20818Aconselhamento Pastoral292,385786802034,3857868020304628818</v>
      </c>
      <c r="X41" s="25" t="str">
        <f>'Preços 2018 - Região S e SE'!B8&amp;'Preços 2018 - Região S e SE'!C8&amp;'Preços 2018 - Região S e SE'!D8&amp;'Preços 2018 - Região S e SE'!E8&amp;'Preços 2018 - Região S e SE'!F8&amp;'Preços 2018 - Região S e SE'!G8</f>
        <v>20818Aconselhamento Pastoral294,4162436548224,4162436548223329018</v>
      </c>
      <c r="Y41" s="25" t="b">
        <f t="shared" ref="Y41" si="32">W41=X41</f>
        <v>0</v>
      </c>
    </row>
    <row r="42" spans="1:31" x14ac:dyDescent="0.2">
      <c r="B42" s="34">
        <v>20821</v>
      </c>
      <c r="C42" s="32" t="s">
        <v>45</v>
      </c>
      <c r="D42" s="35">
        <f t="shared" ref="D42:D68" si="33">F42/(1-$G$4)</f>
        <v>247.71573604060913</v>
      </c>
      <c r="E42" s="35">
        <f t="shared" ref="E42:E68" si="34">D42*$G$4</f>
        <v>3.7157360406091366</v>
      </c>
      <c r="F42" s="35">
        <f>'[30]Preços 2017 - Região S e SE'!$F$9</f>
        <v>244</v>
      </c>
      <c r="G42" s="82">
        <f>'[30]Preços 2017 - Região S e SE'!$G$9</f>
        <v>18</v>
      </c>
      <c r="H42" s="30"/>
      <c r="I42" s="43">
        <f t="shared" si="25"/>
        <v>264.97461928934013</v>
      </c>
      <c r="J42" s="43">
        <f t="shared" si="26"/>
        <v>3.9746192893401018</v>
      </c>
      <c r="K42" s="43">
        <f t="shared" ref="K42:K69" si="35">IFERROR(ROUNDUP(K11*0.9,0),0)</f>
        <v>261</v>
      </c>
      <c r="L42" s="91">
        <f t="shared" ref="L42:L69" si="36">G42</f>
        <v>18</v>
      </c>
      <c r="N42" s="92">
        <f t="shared" ref="N42:N69" si="37">I42-J42-K42</f>
        <v>0</v>
      </c>
      <c r="O42" s="57">
        <f t="shared" ref="O42:O69" si="38">J42/I42</f>
        <v>1.4999999999999999E-2</v>
      </c>
      <c r="P42" s="57">
        <f t="shared" ref="P42:P69" si="39">I42/D42-1</f>
        <v>6.9672131147541005E-2</v>
      </c>
      <c r="Q42" s="57">
        <f t="shared" ref="Q42:Q69" si="40">K42/F42-1</f>
        <v>6.9672131147541005E-2</v>
      </c>
      <c r="S42" s="25" t="str">
        <f t="shared" ref="S42:S69" si="41">B42&amp;C42&amp;D42&amp;E42&amp;F42&amp;G42</f>
        <v>20821Administração da Produção e Operações247,7157360406093,7157360406091424418</v>
      </c>
      <c r="T42" s="25" t="str">
        <f>'[30]Preços 2017 - Região S e SE'!$B$9&amp;'[30]Preços 2017 - Região S e SE'!$C$9&amp;'[30]Preços 2017 - Região S e SE'!$D$9&amp;'[30]Preços 2017 - Região S e SE'!$E$9&amp;'[30]Preços 2017 - Região S e SE'!$F$9&amp;'[30]Preços 2017 - Região S e SE'!$G$9</f>
        <v>20821Administração da Produção e Operações247,7157360406093,7157360406091424418</v>
      </c>
      <c r="U42" s="25" t="b">
        <f t="shared" ref="U42:U69" si="42">S42=T42</f>
        <v>1</v>
      </c>
      <c r="W42" s="25" t="str">
        <f t="shared" ref="W42:W70" si="43">B42&amp;C42&amp;I42&amp;J42&amp;K42&amp;L42</f>
        <v>20821Administração da Produção e Operações264,974619289343,974619289340126118</v>
      </c>
      <c r="X42" s="25" t="str">
        <f>'Preços 2018 - Região S e SE'!B9&amp;'Preços 2018 - Região S e SE'!C9&amp;'Preços 2018 - Região S e SE'!D9&amp;'Preços 2018 - Região S e SE'!E9&amp;'Preços 2018 - Região S e SE'!F9&amp;'Preços 2018 - Região S e SE'!G9</f>
        <v>20821Administração da Produção e Operações294,4162436548224,4162436548223329018</v>
      </c>
      <c r="Y42" s="25" t="b">
        <f t="shared" ref="Y42:Y69" si="44">W42=X42</f>
        <v>0</v>
      </c>
    </row>
    <row r="43" spans="1:31" x14ac:dyDescent="0.2">
      <c r="B43" s="34">
        <v>20575</v>
      </c>
      <c r="C43" s="32" t="s">
        <v>30</v>
      </c>
      <c r="D43" s="35">
        <f t="shared" si="33"/>
        <v>264.97461928934013</v>
      </c>
      <c r="E43" s="35">
        <f t="shared" si="34"/>
        <v>3.9746192893401018</v>
      </c>
      <c r="F43" s="35">
        <f>'[30]Preços 2017 - Região S e SE'!$F$10</f>
        <v>261</v>
      </c>
      <c r="G43" s="82">
        <f>'[30]Preços 2017 - Região S e SE'!$G$10</f>
        <v>18</v>
      </c>
      <c r="H43" s="30"/>
      <c r="I43" s="43">
        <f t="shared" si="25"/>
        <v>282.23350253807109</v>
      </c>
      <c r="J43" s="43">
        <f t="shared" si="26"/>
        <v>4.2335025380710665</v>
      </c>
      <c r="K43" s="43">
        <f t="shared" si="35"/>
        <v>278</v>
      </c>
      <c r="L43" s="91">
        <f t="shared" si="36"/>
        <v>18</v>
      </c>
      <c r="N43" s="92">
        <f t="shared" si="37"/>
        <v>0</v>
      </c>
      <c r="O43" s="57">
        <f t="shared" si="38"/>
        <v>1.4999999999999999E-2</v>
      </c>
      <c r="P43" s="57">
        <f t="shared" si="39"/>
        <v>6.5134099616858343E-2</v>
      </c>
      <c r="Q43" s="57">
        <f t="shared" si="40"/>
        <v>6.5134099616858343E-2</v>
      </c>
      <c r="S43" s="25" t="str">
        <f t="shared" si="41"/>
        <v>20575Comunicação Empresarial264,974619289343,974619289340126118</v>
      </c>
      <c r="T43" s="25" t="str">
        <f>'[30]Preços 2017 - Região S e SE'!$B$10&amp;'[30]Preços 2017 - Região S e SE'!$C$10&amp;'[30]Preços 2017 - Região S e SE'!$D$10&amp;'[30]Preços 2017 - Região S e SE'!$E$10&amp;'[30]Preços 2017 - Região S e SE'!$F$10&amp;'[30]Preços 2017 - Região S e SE'!$G$10</f>
        <v>20575Comunicação Empresarial264,974619289343,974619289340126118</v>
      </c>
      <c r="U43" s="25" t="b">
        <f t="shared" si="42"/>
        <v>1</v>
      </c>
      <c r="W43" s="25" t="str">
        <f t="shared" si="43"/>
        <v>20575Comunicação Empresarial282,2335025380714,2335025380710727818</v>
      </c>
      <c r="X43" s="25" t="str">
        <f>'Preços 2018 - Região S e SE'!B10&amp;'Preços 2018 - Região S e SE'!C10&amp;'Preços 2018 - Região S e SE'!D10&amp;'Preços 2018 - Região S e SE'!E10&amp;'Preços 2018 - Região S e SE'!F10&amp;'Preços 2018 - Região S e SE'!G10</f>
        <v>20575Comunicação Empresarial294,4162436548224,4162436548223329018</v>
      </c>
      <c r="Y43" s="25" t="b">
        <f t="shared" si="44"/>
        <v>0</v>
      </c>
    </row>
    <row r="44" spans="1:31" x14ac:dyDescent="0.2">
      <c r="B44" s="34">
        <v>20019</v>
      </c>
      <c r="C44" s="32" t="s">
        <v>12</v>
      </c>
      <c r="D44" s="35">
        <f t="shared" si="33"/>
        <v>271.06598984771574</v>
      </c>
      <c r="E44" s="35">
        <f t="shared" si="34"/>
        <v>4.0659898477157359</v>
      </c>
      <c r="F44" s="35">
        <f>'[30]Preços 2017 - Região S e SE'!$F$11</f>
        <v>267</v>
      </c>
      <c r="G44" s="82">
        <f>'[30]Preços 2017 - Região S e SE'!$G$11</f>
        <v>18</v>
      </c>
      <c r="H44" s="30"/>
      <c r="I44" s="43">
        <f t="shared" si="25"/>
        <v>289.34010152284264</v>
      </c>
      <c r="J44" s="43">
        <f t="shared" si="26"/>
        <v>4.3401015228426392</v>
      </c>
      <c r="K44" s="43">
        <f t="shared" si="35"/>
        <v>285</v>
      </c>
      <c r="L44" s="91">
        <f t="shared" si="36"/>
        <v>18</v>
      </c>
      <c r="N44" s="92">
        <f t="shared" si="37"/>
        <v>0</v>
      </c>
      <c r="O44" s="57">
        <f t="shared" si="38"/>
        <v>1.4999999999999998E-2</v>
      </c>
      <c r="P44" s="57">
        <f t="shared" si="39"/>
        <v>6.7415730337078594E-2</v>
      </c>
      <c r="Q44" s="57">
        <f t="shared" si="40"/>
        <v>6.7415730337078594E-2</v>
      </c>
      <c r="S44" s="25" t="str">
        <f t="shared" si="41"/>
        <v>20019Controladoria e Finanças271,0659898477164,0659898477157426718</v>
      </c>
      <c r="T44" s="25" t="str">
        <f>'[30]Preços 2017 - Região S e SE'!$B$11&amp;'[30]Preços 2017 - Região S e SE'!$C$11&amp;'[30]Preços 2017 - Região S e SE'!$D$11&amp;'[30]Preços 2017 - Região S e SE'!$E$11&amp;'[30]Preços 2017 - Região S e SE'!$F$11&amp;'[30]Preços 2017 - Região S e SE'!$G$11</f>
        <v>20019Controladoria e Finanças271,0659898477164,0659898477157426718</v>
      </c>
      <c r="U44" s="25" t="b">
        <f t="shared" si="42"/>
        <v>1</v>
      </c>
      <c r="W44" s="25" t="str">
        <f t="shared" si="43"/>
        <v>20019Controladoria e Finanças289,3401015228434,3401015228426428518</v>
      </c>
      <c r="X44" s="25" t="str">
        <f>'Preços 2018 - Região S e SE'!B11&amp;'Preços 2018 - Região S e SE'!C11&amp;'Preços 2018 - Região S e SE'!D11&amp;'Preços 2018 - Região S e SE'!E11&amp;'Preços 2018 - Região S e SE'!F11&amp;'Preços 2018 - Região S e SE'!G11</f>
        <v>20019Controladoria e Finanças294,4162436548224,4162436548223329018</v>
      </c>
      <c r="Y44" s="25" t="b">
        <f t="shared" si="44"/>
        <v>0</v>
      </c>
    </row>
    <row r="45" spans="1:31" x14ac:dyDescent="0.2">
      <c r="B45" s="54">
        <v>20822</v>
      </c>
      <c r="C45" s="32" t="s">
        <v>21</v>
      </c>
      <c r="D45" s="35">
        <f t="shared" si="33"/>
        <v>251.7766497461929</v>
      </c>
      <c r="E45" s="35">
        <f t="shared" si="34"/>
        <v>3.7766497461928932</v>
      </c>
      <c r="F45" s="35">
        <f>'[30]Preços 2017 - Região S e SE'!$F$12</f>
        <v>248</v>
      </c>
      <c r="G45" s="82">
        <f>'[30]Preços 2017 - Região S e SE'!$G$12</f>
        <v>18</v>
      </c>
      <c r="H45" s="30"/>
      <c r="I45" s="43">
        <f t="shared" si="25"/>
        <v>268.02030456852793</v>
      </c>
      <c r="J45" s="43">
        <f t="shared" si="26"/>
        <v>4.0203045685279193</v>
      </c>
      <c r="K45" s="43">
        <f t="shared" si="35"/>
        <v>264</v>
      </c>
      <c r="L45" s="91">
        <f t="shared" si="36"/>
        <v>18</v>
      </c>
      <c r="N45" s="92">
        <f t="shared" si="37"/>
        <v>0</v>
      </c>
      <c r="O45" s="57">
        <f t="shared" si="38"/>
        <v>1.5000000000000001E-2</v>
      </c>
      <c r="P45" s="57">
        <f t="shared" si="39"/>
        <v>6.4516129032258007E-2</v>
      </c>
      <c r="Q45" s="57">
        <f t="shared" si="40"/>
        <v>6.4516129032258007E-2</v>
      </c>
      <c r="S45" s="25" t="str">
        <f t="shared" si="41"/>
        <v>20822Direito Educacional 251,7766497461933,7766497461928924818</v>
      </c>
      <c r="T45" s="25" t="str">
        <f>'[30]Preços 2017 - Região S e SE'!$B$12&amp;'[30]Preços 2017 - Região S e SE'!$C$12&amp;'[30]Preços 2017 - Região S e SE'!$D$12&amp;'[30]Preços 2017 - Região S e SE'!$E$12&amp;'[30]Preços 2017 - Região S e SE'!$F$12&amp;'[30]Preços 2017 - Região S e SE'!$G$12</f>
        <v>20822Direito Educacional 251,7766497461933,7766497461928924818</v>
      </c>
      <c r="U45" s="25" t="b">
        <f t="shared" si="42"/>
        <v>1</v>
      </c>
      <c r="W45" s="25" t="str">
        <f t="shared" si="43"/>
        <v>20822Direito Educacional 268,0203045685284,0203045685279226418</v>
      </c>
      <c r="X45" s="25" t="str">
        <f>'Preços 2018 - Região S e SE'!B12&amp;'Preços 2018 - Região S e SE'!C12&amp;'Preços 2018 - Região S e SE'!D12&amp;'Preços 2018 - Região S e SE'!E12&amp;'Preços 2018 - Região S e SE'!F12&amp;'Preços 2018 - Região S e SE'!G12</f>
        <v>20822Direito Educacional 294,4162436548224,4162436548223329018</v>
      </c>
      <c r="Y45" s="25" t="b">
        <f t="shared" si="44"/>
        <v>0</v>
      </c>
    </row>
    <row r="46" spans="1:31" x14ac:dyDescent="0.2">
      <c r="B46" s="34">
        <v>20823</v>
      </c>
      <c r="C46" s="32" t="s">
        <v>27</v>
      </c>
      <c r="D46" s="35">
        <f t="shared" si="33"/>
        <v>243.65482233502539</v>
      </c>
      <c r="E46" s="35">
        <f t="shared" si="34"/>
        <v>3.6548223350253806</v>
      </c>
      <c r="F46" s="35">
        <f>'[30]Preços 2017 - Região S e SE'!$F$13</f>
        <v>240</v>
      </c>
      <c r="G46" s="82">
        <f>'[30]Preços 2017 - Região S e SE'!$G$13</f>
        <v>18</v>
      </c>
      <c r="H46" s="30"/>
      <c r="I46" s="43">
        <f t="shared" si="25"/>
        <v>259.89847715736039</v>
      </c>
      <c r="J46" s="43">
        <f t="shared" si="26"/>
        <v>3.8984771573604058</v>
      </c>
      <c r="K46" s="43">
        <f t="shared" si="35"/>
        <v>256</v>
      </c>
      <c r="L46" s="91">
        <f t="shared" si="36"/>
        <v>18</v>
      </c>
      <c r="N46" s="92">
        <f t="shared" si="37"/>
        <v>0</v>
      </c>
      <c r="O46" s="57">
        <f t="shared" si="38"/>
        <v>1.4999999999999999E-2</v>
      </c>
      <c r="P46" s="57">
        <f t="shared" si="39"/>
        <v>6.6666666666666652E-2</v>
      </c>
      <c r="Q46" s="57">
        <f t="shared" si="40"/>
        <v>6.6666666666666652E-2</v>
      </c>
      <c r="S46" s="25" t="str">
        <f t="shared" si="41"/>
        <v>20823Direitos Difusos e Coletivos243,6548223350253,6548223350253824018</v>
      </c>
      <c r="T46" s="25" t="str">
        <f>'[30]Preços 2017 - Região S e SE'!$B$13&amp;'[30]Preços 2017 - Região S e SE'!$C$13&amp;'[30]Preços 2017 - Região S e SE'!$D$13&amp;'[30]Preços 2017 - Região S e SE'!$E$13&amp;'[30]Preços 2017 - Região S e SE'!$F$13&amp;'[30]Preços 2017 - Região S e SE'!$G$13</f>
        <v>20823Direitos Difusos e Coletivos243,6548223350253,6548223350253824018</v>
      </c>
      <c r="U46" s="25" t="b">
        <f t="shared" si="42"/>
        <v>1</v>
      </c>
      <c r="W46" s="25" t="str">
        <f t="shared" si="43"/>
        <v>20823Direitos Difusos e Coletivos259,898477157363,8984771573604125618</v>
      </c>
      <c r="X46" s="25" t="str">
        <f>'Preços 2018 - Região S e SE'!B13&amp;'Preços 2018 - Região S e SE'!C13&amp;'Preços 2018 - Região S e SE'!D13&amp;'Preços 2018 - Região S e SE'!E13&amp;'Preços 2018 - Região S e SE'!F13&amp;'Preços 2018 - Região S e SE'!G13</f>
        <v>20823Direitos Difusos e Coletivos294,4162436548224,4162436548223329018</v>
      </c>
      <c r="Y46" s="25" t="b">
        <f t="shared" si="44"/>
        <v>0</v>
      </c>
    </row>
    <row r="47" spans="1:31" x14ac:dyDescent="0.2">
      <c r="B47" s="54">
        <v>20824</v>
      </c>
      <c r="C47" s="32" t="s">
        <v>20</v>
      </c>
      <c r="D47" s="35">
        <f t="shared" si="33"/>
        <v>247.71573604060913</v>
      </c>
      <c r="E47" s="35">
        <f t="shared" si="34"/>
        <v>3.7157360406091366</v>
      </c>
      <c r="F47" s="35">
        <f>'[30]Preços 2017 - Região S e SE'!$F$14</f>
        <v>244</v>
      </c>
      <c r="G47" s="82">
        <f>'[30]Preços 2017 - Região S e SE'!$G$14</f>
        <v>18</v>
      </c>
      <c r="H47" s="30"/>
      <c r="I47" s="43">
        <f t="shared" si="25"/>
        <v>264.97461928934013</v>
      </c>
      <c r="J47" s="43">
        <f t="shared" si="26"/>
        <v>3.9746192893401018</v>
      </c>
      <c r="K47" s="43">
        <f t="shared" si="35"/>
        <v>261</v>
      </c>
      <c r="L47" s="91">
        <f t="shared" si="36"/>
        <v>18</v>
      </c>
      <c r="N47" s="92">
        <f t="shared" si="37"/>
        <v>0</v>
      </c>
      <c r="O47" s="57">
        <f t="shared" si="38"/>
        <v>1.4999999999999999E-2</v>
      </c>
      <c r="P47" s="57">
        <f t="shared" si="39"/>
        <v>6.9672131147541005E-2</v>
      </c>
      <c r="Q47" s="57">
        <f t="shared" si="40"/>
        <v>6.9672131147541005E-2</v>
      </c>
      <c r="S47" s="25" t="str">
        <f t="shared" si="41"/>
        <v>20824Engenharia do Produto Utilizando o Método dos Elementos Finitos 247,7157360406093,7157360406091424418</v>
      </c>
      <c r="T47" s="25" t="str">
        <f>'[30]Preços 2017 - Região S e SE'!$B$14&amp;'[30]Preços 2017 - Região S e SE'!$C$14&amp;'[30]Preços 2017 - Região S e SE'!$D$14&amp;'[30]Preços 2017 - Região S e SE'!$E$14&amp;'[30]Preços 2017 - Região S e SE'!$F$14&amp;'[30]Preços 2017 - Região S e SE'!$G$14</f>
        <v>20824Engenharia do Produto Utilizando o Método dos Elementos Finitos 247,7157360406093,7157360406091424418</v>
      </c>
      <c r="U47" s="25" t="b">
        <f t="shared" si="42"/>
        <v>1</v>
      </c>
      <c r="W47" s="25" t="str">
        <f t="shared" si="43"/>
        <v>20824Engenharia do Produto Utilizando o Método dos Elementos Finitos 264,974619289343,974619289340126118</v>
      </c>
      <c r="X47" s="25" t="str">
        <f>'Preços 2018 - Região S e SE'!B14&amp;'Preços 2018 - Região S e SE'!C14&amp;'Preços 2018 - Região S e SE'!D14&amp;'Preços 2018 - Região S e SE'!E14&amp;'Preços 2018 - Região S e SE'!F14&amp;'Preços 2018 - Região S e SE'!G14</f>
        <v>20824Engenharia do Produto Utilizando o Método dos Elementos Finitos 294,4162436548224,4162436548223329018</v>
      </c>
      <c r="Y47" s="25" t="b">
        <f t="shared" si="44"/>
        <v>0</v>
      </c>
    </row>
    <row r="48" spans="1:31" x14ac:dyDescent="0.2">
      <c r="B48" s="54">
        <v>20831</v>
      </c>
      <c r="C48" s="32" t="s">
        <v>42</v>
      </c>
      <c r="D48" s="35">
        <f t="shared" si="33"/>
        <v>272.08121827411168</v>
      </c>
      <c r="E48" s="35">
        <f t="shared" si="34"/>
        <v>4.0812182741116754</v>
      </c>
      <c r="F48" s="35">
        <f>'[30]Preços 2017 - Região S e SE'!$F$15</f>
        <v>268</v>
      </c>
      <c r="G48" s="82">
        <f>'[30]Preços 2017 - Região S e SE'!$G$15</f>
        <v>18</v>
      </c>
      <c r="H48" s="30"/>
      <c r="I48" s="43">
        <f t="shared" si="25"/>
        <v>290.35532994923858</v>
      </c>
      <c r="J48" s="43">
        <f t="shared" si="26"/>
        <v>4.3553299492385786</v>
      </c>
      <c r="K48" s="43">
        <f t="shared" si="35"/>
        <v>286</v>
      </c>
      <c r="L48" s="91">
        <f t="shared" si="36"/>
        <v>18</v>
      </c>
      <c r="N48" s="92">
        <f t="shared" si="37"/>
        <v>0</v>
      </c>
      <c r="O48" s="57">
        <f t="shared" si="38"/>
        <v>1.4999999999999999E-2</v>
      </c>
      <c r="P48" s="57">
        <f t="shared" si="39"/>
        <v>6.7164179104477695E-2</v>
      </c>
      <c r="Q48" s="57">
        <f t="shared" si="40"/>
        <v>6.7164179104477695E-2</v>
      </c>
      <c r="S48" s="25" t="str">
        <f t="shared" si="41"/>
        <v>20831Filosofia da Religião272,0812182741124,0812182741116826818</v>
      </c>
      <c r="T48" s="25" t="str">
        <f>'[30]Preços 2017 - Região S e SE'!$B$15&amp;'[30]Preços 2017 - Região S e SE'!$C$15&amp;'[30]Preços 2017 - Região S e SE'!$D$15&amp;'[30]Preços 2017 - Região S e SE'!$E$15&amp;'[30]Preços 2017 - Região S e SE'!$F$15&amp;'[30]Preços 2017 - Região S e SE'!$G$15</f>
        <v>20831Filosofia da Religião272,0812182741124,0812182741116826818</v>
      </c>
      <c r="U48" s="25" t="b">
        <f t="shared" si="42"/>
        <v>1</v>
      </c>
      <c r="W48" s="25" t="str">
        <f t="shared" si="43"/>
        <v>20831Filosofia da Religião290,3553299492394,3553299492385828618</v>
      </c>
      <c r="X48" s="25" t="str">
        <f>'Preços 2018 - Região S e SE'!B15&amp;'Preços 2018 - Região S e SE'!C15&amp;'Preços 2018 - Região S e SE'!D15&amp;'Preços 2018 - Região S e SE'!E15&amp;'Preços 2018 - Região S e SE'!F15&amp;'Preços 2018 - Região S e SE'!G15</f>
        <v>20831Filosofia da Religião294,4162436548224,4162436548223329018</v>
      </c>
      <c r="Y48" s="25" t="b">
        <f t="shared" si="44"/>
        <v>0</v>
      </c>
    </row>
    <row r="49" spans="2:25" x14ac:dyDescent="0.2">
      <c r="B49" s="54">
        <v>20825</v>
      </c>
      <c r="C49" s="32" t="s">
        <v>46</v>
      </c>
      <c r="D49" s="35">
        <f t="shared" si="33"/>
        <v>251.7766497461929</v>
      </c>
      <c r="E49" s="35">
        <f t="shared" si="34"/>
        <v>3.7766497461928932</v>
      </c>
      <c r="F49" s="35">
        <f>'[30]Preços 2017 - Região S e SE'!$F$16</f>
        <v>248</v>
      </c>
      <c r="G49" s="82">
        <f>'[30]Preços 2017 - Região S e SE'!$G$16</f>
        <v>18</v>
      </c>
      <c r="H49" s="30"/>
      <c r="I49" s="43">
        <f t="shared" ref="I49" si="45">K49/(1-$M$4)</f>
        <v>268.02030456852793</v>
      </c>
      <c r="J49" s="43">
        <f t="shared" ref="J49" si="46">I49*$M$4</f>
        <v>4.0203045685279193</v>
      </c>
      <c r="K49" s="43">
        <f t="shared" si="35"/>
        <v>264</v>
      </c>
      <c r="L49" s="91">
        <f t="shared" si="36"/>
        <v>18</v>
      </c>
      <c r="N49" s="92">
        <f t="shared" si="37"/>
        <v>0</v>
      </c>
      <c r="O49" s="57">
        <f t="shared" si="38"/>
        <v>1.5000000000000001E-2</v>
      </c>
      <c r="P49" s="57">
        <f t="shared" si="39"/>
        <v>6.4516129032258007E-2</v>
      </c>
      <c r="Q49" s="57">
        <f t="shared" si="40"/>
        <v>6.4516129032258007E-2</v>
      </c>
      <c r="S49" s="25" t="str">
        <f t="shared" si="41"/>
        <v>20825Gestão de Mídias Digitais 251,7766497461933,7766497461928924818</v>
      </c>
      <c r="T49" s="25" t="str">
        <f>'[30]Preços 2017 - Região S e SE'!$B$16&amp;'[30]Preços 2017 - Região S e SE'!$C$16&amp;'[30]Preços 2017 - Região S e SE'!$D$16&amp;'[30]Preços 2017 - Região S e SE'!$E$16&amp;'[30]Preços 2017 - Região S e SE'!$F$16&amp;'[30]Preços 2017 - Região S e SE'!$G$16</f>
        <v>20825Gestão de Mídias Digitais 251,7766497461933,7766497461928924818</v>
      </c>
      <c r="U49" s="25" t="b">
        <f t="shared" si="42"/>
        <v>1</v>
      </c>
      <c r="W49" s="25" t="str">
        <f t="shared" si="43"/>
        <v>20825Gestão de Mídias Digitais 268,0203045685284,0203045685279226418</v>
      </c>
      <c r="X49" s="25" t="str">
        <f>'Preços 2018 - Região S e SE'!B16&amp;'Preços 2018 - Região S e SE'!C16&amp;'Preços 2018 - Região S e SE'!D16&amp;'Preços 2018 - Região S e SE'!E16&amp;'Preços 2018 - Região S e SE'!F16&amp;'Preços 2018 - Região S e SE'!G16</f>
        <v>20825Gestão de Mídias Digitais 294,4162436548224,4162436548223329018</v>
      </c>
      <c r="Y49" s="25" t="b">
        <f t="shared" si="44"/>
        <v>0</v>
      </c>
    </row>
    <row r="50" spans="2:25" x14ac:dyDescent="0.2">
      <c r="B50" s="34">
        <v>20018</v>
      </c>
      <c r="C50" s="32" t="s">
        <v>11</v>
      </c>
      <c r="D50" s="35">
        <f t="shared" si="33"/>
        <v>283.24873096446703</v>
      </c>
      <c r="E50" s="35">
        <f t="shared" si="34"/>
        <v>4.248730964467005</v>
      </c>
      <c r="F50" s="35">
        <f>'[30]Preços 2017 - Região S e SE'!$F$17</f>
        <v>279</v>
      </c>
      <c r="G50" s="82">
        <f>'[30]Preços 2017 - Região S e SE'!$G$17</f>
        <v>18</v>
      </c>
      <c r="H50" s="30"/>
      <c r="I50" s="43">
        <f t="shared" ref="I50:I61" si="47">K50/(1-$M$4)</f>
        <v>301.52284263959393</v>
      </c>
      <c r="J50" s="43">
        <f t="shared" ref="J50:J61" si="48">I50*$M$4</f>
        <v>4.5228426395939092</v>
      </c>
      <c r="K50" s="43">
        <f t="shared" si="35"/>
        <v>297</v>
      </c>
      <c r="L50" s="91">
        <f t="shared" si="36"/>
        <v>18</v>
      </c>
      <c r="N50" s="92">
        <f t="shared" si="37"/>
        <v>0</v>
      </c>
      <c r="O50" s="57">
        <f t="shared" si="38"/>
        <v>1.5000000000000001E-2</v>
      </c>
      <c r="P50" s="57">
        <f t="shared" si="39"/>
        <v>6.4516129032258007E-2</v>
      </c>
      <c r="Q50" s="57">
        <f t="shared" si="40"/>
        <v>6.4516129032258007E-2</v>
      </c>
      <c r="S50" s="25" t="str">
        <f t="shared" si="41"/>
        <v>20018Gerenciamento de Projetos de TI com Práticas Alinhadas ao PMI®283,2487309644674,2487309644670127918</v>
      </c>
      <c r="T50" s="25" t="str">
        <f>'[30]Preços 2017 - Região S e SE'!$B$17&amp;'[30]Preços 2017 - Região S e SE'!$C$17&amp;'[30]Preços 2017 - Região S e SE'!$D$17&amp;'[30]Preços 2017 - Região S e SE'!$E$17&amp;'[30]Preços 2017 - Região S e SE'!$F$17&amp;'[30]Preços 2017 - Região S e SE'!$G$17</f>
        <v>20018Gerenciamento de Projetos de TI com Práticas Alinhadas ao PMI®283,2487309644674,2487309644670127918</v>
      </c>
      <c r="U50" s="25" t="b">
        <f t="shared" si="42"/>
        <v>1</v>
      </c>
      <c r="W50" s="25" t="str">
        <f t="shared" si="43"/>
        <v>20018Gerenciamento de Projetos de TI com Práticas Alinhadas ao PMI®301,5228426395944,5228426395939129718</v>
      </c>
      <c r="X50" s="25" t="str">
        <f>'Preços 2018 - Região S e SE'!B17&amp;'Preços 2018 - Região S e SE'!C17&amp;'Preços 2018 - Região S e SE'!D17&amp;'Preços 2018 - Região S e SE'!E17&amp;'Preços 2018 - Região S e SE'!F17&amp;'Preços 2018 - Região S e SE'!G17</f>
        <v>20018Gerenciamento de Projetos de TI com Práticas Alinhadas ao PMI®294,4162436548224,4162436548223329018</v>
      </c>
      <c r="Y50" s="25" t="b">
        <f t="shared" si="44"/>
        <v>0</v>
      </c>
    </row>
    <row r="51" spans="2:25" x14ac:dyDescent="0.2">
      <c r="B51" s="54">
        <v>20826</v>
      </c>
      <c r="C51" s="32" t="s">
        <v>22</v>
      </c>
      <c r="D51" s="35">
        <f t="shared" si="33"/>
        <v>247.71573604060913</v>
      </c>
      <c r="E51" s="35">
        <f t="shared" si="34"/>
        <v>3.7157360406091366</v>
      </c>
      <c r="F51" s="35">
        <f>'[30]Preços 2017 - Região S e SE'!$F$18</f>
        <v>244</v>
      </c>
      <c r="G51" s="82">
        <f>'[30]Preços 2017 - Região S e SE'!$G$18</f>
        <v>18</v>
      </c>
      <c r="H51" s="30"/>
      <c r="I51" s="43">
        <f t="shared" si="47"/>
        <v>264.97461928934013</v>
      </c>
      <c r="J51" s="43">
        <f t="shared" si="48"/>
        <v>3.9746192893401018</v>
      </c>
      <c r="K51" s="43">
        <f t="shared" si="35"/>
        <v>261</v>
      </c>
      <c r="L51" s="91">
        <f t="shared" si="36"/>
        <v>18</v>
      </c>
      <c r="N51" s="92">
        <f t="shared" si="37"/>
        <v>0</v>
      </c>
      <c r="O51" s="57">
        <f t="shared" si="38"/>
        <v>1.4999999999999999E-2</v>
      </c>
      <c r="P51" s="57">
        <f t="shared" si="39"/>
        <v>6.9672131147541005E-2</v>
      </c>
      <c r="Q51" s="57">
        <f t="shared" si="40"/>
        <v>6.9672131147541005E-2</v>
      </c>
      <c r="S51" s="25" t="str">
        <f t="shared" si="41"/>
        <v>20826Gestão Ambiental247,7157360406093,7157360406091424418</v>
      </c>
      <c r="T51" s="25" t="str">
        <f>'[30]Preços 2017 - Região S e SE'!$B$18&amp;'[30]Preços 2017 - Região S e SE'!$C$18&amp;'[30]Preços 2017 - Região S e SE'!$D$18&amp;'[30]Preços 2017 - Região S e SE'!$E$18&amp;'[30]Preços 2017 - Região S e SE'!$F$18&amp;'[30]Preços 2017 - Região S e SE'!$G$18</f>
        <v>20826Gestão Ambiental247,7157360406093,7157360406091424418</v>
      </c>
      <c r="U51" s="25" t="b">
        <f t="shared" si="42"/>
        <v>1</v>
      </c>
      <c r="W51" s="25" t="str">
        <f t="shared" si="43"/>
        <v>20826Gestão Ambiental264,974619289343,974619289340126118</v>
      </c>
      <c r="X51" s="25" t="str">
        <f>'Preços 2018 - Região S e SE'!B18&amp;'Preços 2018 - Região S e SE'!C18&amp;'Preços 2018 - Região S e SE'!D18&amp;'Preços 2018 - Região S e SE'!E18&amp;'Preços 2018 - Região S e SE'!F18&amp;'Preços 2018 - Região S e SE'!G18</f>
        <v>20826Gestão Ambiental294,4162436548224,4162436548223329018</v>
      </c>
      <c r="Y51" s="25" t="b">
        <f t="shared" si="44"/>
        <v>0</v>
      </c>
    </row>
    <row r="52" spans="2:25" x14ac:dyDescent="0.2">
      <c r="B52" s="54">
        <v>20827</v>
      </c>
      <c r="C52" s="32" t="s">
        <v>24</v>
      </c>
      <c r="D52" s="35">
        <f t="shared" si="33"/>
        <v>319.79695431472084</v>
      </c>
      <c r="E52" s="35">
        <f t="shared" si="34"/>
        <v>4.7969543147208125</v>
      </c>
      <c r="F52" s="35">
        <f>'[30]Preços 2017 - Região S e SE'!$F$19</f>
        <v>315</v>
      </c>
      <c r="G52" s="82">
        <f>'[30]Preços 2017 - Região S e SE'!$G$19</f>
        <v>18</v>
      </c>
      <c r="H52" s="30"/>
      <c r="I52" s="43">
        <f t="shared" si="47"/>
        <v>341.11675126903555</v>
      </c>
      <c r="J52" s="43">
        <f t="shared" si="48"/>
        <v>5.1167512690355332</v>
      </c>
      <c r="K52" s="43">
        <f t="shared" si="35"/>
        <v>336</v>
      </c>
      <c r="L52" s="91">
        <f t="shared" si="36"/>
        <v>18</v>
      </c>
      <c r="N52" s="92">
        <f t="shared" si="37"/>
        <v>0</v>
      </c>
      <c r="O52" s="57">
        <f t="shared" si="38"/>
        <v>1.4999999999999999E-2</v>
      </c>
      <c r="P52" s="57">
        <f t="shared" si="39"/>
        <v>6.6666666666666652E-2</v>
      </c>
      <c r="Q52" s="57">
        <f t="shared" si="40"/>
        <v>6.6666666666666652E-2</v>
      </c>
      <c r="S52" s="25" t="str">
        <f t="shared" si="41"/>
        <v>20827Gestão da Cadeia Produtiva Aeroespacial319,7969543147214,7969543147208131518</v>
      </c>
      <c r="T52" s="25" t="str">
        <f>'[30]Preços 2017 - Região S e SE'!$B$19&amp;'[30]Preços 2017 - Região S e SE'!$C$19&amp;'[30]Preços 2017 - Região S e SE'!$D$19&amp;'[30]Preços 2017 - Região S e SE'!$E$19&amp;'[30]Preços 2017 - Região S e SE'!$F$19&amp;'[30]Preços 2017 - Região S e SE'!$G$19</f>
        <v>20827Gestão da Cadeia Produtiva Aeroespacial319,7969543147214,7969543147208131518</v>
      </c>
      <c r="U52" s="25" t="b">
        <f t="shared" si="42"/>
        <v>1</v>
      </c>
      <c r="W52" s="25" t="str">
        <f t="shared" si="43"/>
        <v>20827Gestão da Cadeia Produtiva Aeroespacial341,1167512690365,1167512690355333618</v>
      </c>
      <c r="X52" s="25" t="str">
        <f>'Preços 2018 - Região S e SE'!B19&amp;'Preços 2018 - Região S e SE'!C19&amp;'Preços 2018 - Região S e SE'!D19&amp;'Preços 2018 - Região S e SE'!E19&amp;'Preços 2018 - Região S e SE'!F19&amp;'Preços 2018 - Região S e SE'!G19</f>
        <v>20827Gestão da Cadeia Produtiva Aeroespacial294,4162436548224,4162436548223329018</v>
      </c>
      <c r="Y52" s="25" t="b">
        <f t="shared" si="44"/>
        <v>0</v>
      </c>
    </row>
    <row r="53" spans="2:25" x14ac:dyDescent="0.2">
      <c r="B53" s="34">
        <v>20010</v>
      </c>
      <c r="C53" s="32" t="s">
        <v>8</v>
      </c>
      <c r="D53" s="35">
        <f t="shared" si="33"/>
        <v>255.83756345177665</v>
      </c>
      <c r="E53" s="35">
        <f t="shared" si="34"/>
        <v>3.8375634517766497</v>
      </c>
      <c r="F53" s="35">
        <f>'[30]Preços 2017 - Região S e SE'!$F$20</f>
        <v>252</v>
      </c>
      <c r="G53" s="82">
        <f>'[30]Preços 2017 - Região S e SE'!$G$20</f>
        <v>18</v>
      </c>
      <c r="H53" s="30"/>
      <c r="I53" s="43">
        <f t="shared" si="47"/>
        <v>274.11167512690355</v>
      </c>
      <c r="J53" s="43">
        <f t="shared" si="48"/>
        <v>4.1116751269035534</v>
      </c>
      <c r="K53" s="43">
        <f t="shared" si="35"/>
        <v>270</v>
      </c>
      <c r="L53" s="91">
        <f t="shared" si="36"/>
        <v>18</v>
      </c>
      <c r="N53" s="92">
        <f t="shared" si="37"/>
        <v>0</v>
      </c>
      <c r="O53" s="57">
        <f t="shared" si="38"/>
        <v>1.5000000000000001E-2</v>
      </c>
      <c r="P53" s="57">
        <f t="shared" si="39"/>
        <v>7.1428571428571397E-2</v>
      </c>
      <c r="Q53" s="57">
        <f t="shared" si="40"/>
        <v>7.1428571428571397E-2</v>
      </c>
      <c r="S53" s="25" t="str">
        <f t="shared" si="41"/>
        <v>20010Gestão da Qualidade 255,8375634517773,8375634517766525218</v>
      </c>
      <c r="T53" s="25" t="str">
        <f>'[30]Preços 2017 - Região S e SE'!$B$20&amp;'[30]Preços 2017 - Região S e SE'!$C$20&amp;'[30]Preços 2017 - Região S e SE'!$D$20&amp;'[30]Preços 2017 - Região S e SE'!$E$20&amp;'[30]Preços 2017 - Região S e SE'!$F$20&amp;'[30]Preços 2017 - Região S e SE'!$G$20</f>
        <v>20010Gestão da Qualidade 255,8375634517773,8375634517766525218</v>
      </c>
      <c r="U53" s="25" t="b">
        <f t="shared" si="42"/>
        <v>1</v>
      </c>
      <c r="W53" s="25" t="str">
        <f t="shared" si="43"/>
        <v>20010Gestão da Qualidade 274,1116751269044,1116751269035527018</v>
      </c>
      <c r="X53" s="25" t="str">
        <f>'Preços 2018 - Região S e SE'!B20&amp;'Preços 2018 - Região S e SE'!C20&amp;'Preços 2018 - Região S e SE'!D20&amp;'Preços 2018 - Região S e SE'!E20&amp;'Preços 2018 - Região S e SE'!F20&amp;'Preços 2018 - Região S e SE'!G20</f>
        <v>20010Gestão da Qualidade 294,4162436548224,4162436548223329018</v>
      </c>
      <c r="Y53" s="25" t="b">
        <f t="shared" si="44"/>
        <v>0</v>
      </c>
    </row>
    <row r="54" spans="2:25" x14ac:dyDescent="0.2">
      <c r="B54" s="54">
        <v>20828</v>
      </c>
      <c r="C54" s="32" t="s">
        <v>25</v>
      </c>
      <c r="D54" s="35">
        <f t="shared" si="33"/>
        <v>247.71573604060913</v>
      </c>
      <c r="E54" s="35">
        <f t="shared" si="34"/>
        <v>3.7157360406091366</v>
      </c>
      <c r="F54" s="35">
        <f>'[30]Preços 2017 - Região S e SE'!$F$21</f>
        <v>244</v>
      </c>
      <c r="G54" s="82">
        <f>'[30]Preços 2017 - Região S e SE'!$G$21</f>
        <v>18</v>
      </c>
      <c r="H54" s="30"/>
      <c r="I54" s="43">
        <f t="shared" si="47"/>
        <v>264.97461928934013</v>
      </c>
      <c r="J54" s="43">
        <f t="shared" si="48"/>
        <v>3.9746192893401018</v>
      </c>
      <c r="K54" s="43">
        <f t="shared" si="35"/>
        <v>261</v>
      </c>
      <c r="L54" s="91">
        <f t="shared" si="36"/>
        <v>18</v>
      </c>
      <c r="N54" s="92">
        <f t="shared" si="37"/>
        <v>0</v>
      </c>
      <c r="O54" s="57">
        <f t="shared" si="38"/>
        <v>1.4999999999999999E-2</v>
      </c>
      <c r="P54" s="57">
        <f t="shared" si="39"/>
        <v>6.9672131147541005E-2</v>
      </c>
      <c r="Q54" s="57">
        <f t="shared" si="40"/>
        <v>6.9672131147541005E-2</v>
      </c>
      <c r="S54" s="25" t="str">
        <f t="shared" si="41"/>
        <v>20828Gestão de Cidades247,7157360406093,7157360406091424418</v>
      </c>
      <c r="T54" s="25" t="str">
        <f>'[30]Preços 2017 - Região S e SE'!$B$21&amp;'[30]Preços 2017 - Região S e SE'!$C$21&amp;'[30]Preços 2017 - Região S e SE'!$D$21&amp;'[30]Preços 2017 - Região S e SE'!$E$21&amp;'[30]Preços 2017 - Região S e SE'!$F$21&amp;'[30]Preços 2017 - Região S e SE'!$G$21</f>
        <v>20828Gestão de Cidades247,7157360406093,7157360406091424418</v>
      </c>
      <c r="U54" s="25" t="b">
        <f t="shared" si="42"/>
        <v>1</v>
      </c>
      <c r="W54" s="25" t="str">
        <f t="shared" si="43"/>
        <v>20828Gestão de Cidades264,974619289343,974619289340126118</v>
      </c>
      <c r="X54" s="25" t="str">
        <f>'Preços 2018 - Região S e SE'!B21&amp;'Preços 2018 - Região S e SE'!C21&amp;'Preços 2018 - Região S e SE'!D21&amp;'Preços 2018 - Região S e SE'!E21&amp;'Preços 2018 - Região S e SE'!F21&amp;'Preços 2018 - Região S e SE'!G21</f>
        <v>20828Gestão de Cidades294,4162436548224,4162436548223329018</v>
      </c>
      <c r="Y54" s="25" t="b">
        <f t="shared" si="44"/>
        <v>0</v>
      </c>
    </row>
    <row r="55" spans="2:25" x14ac:dyDescent="0.2">
      <c r="B55" s="34">
        <v>20015</v>
      </c>
      <c r="C55" s="32" t="s">
        <v>47</v>
      </c>
      <c r="D55" s="35">
        <f t="shared" si="33"/>
        <v>268.02030456852793</v>
      </c>
      <c r="E55" s="35">
        <f t="shared" si="34"/>
        <v>4.0203045685279193</v>
      </c>
      <c r="F55" s="35">
        <f>'[30]Preços 2017 - Região S e SE'!$F$22</f>
        <v>264</v>
      </c>
      <c r="G55" s="82">
        <f>'[30]Preços 2017 - Região S e SE'!$G$22</f>
        <v>18</v>
      </c>
      <c r="H55" s="30"/>
      <c r="I55" s="43">
        <f t="shared" si="47"/>
        <v>286.29441624365484</v>
      </c>
      <c r="J55" s="43">
        <f t="shared" si="48"/>
        <v>4.2944162436548226</v>
      </c>
      <c r="K55" s="43">
        <f t="shared" si="35"/>
        <v>282</v>
      </c>
      <c r="L55" s="91">
        <f t="shared" si="36"/>
        <v>18</v>
      </c>
      <c r="N55" s="92">
        <f t="shared" si="37"/>
        <v>0</v>
      </c>
      <c r="O55" s="57">
        <f t="shared" si="38"/>
        <v>1.4999999999999999E-2</v>
      </c>
      <c r="P55" s="57">
        <f t="shared" si="39"/>
        <v>6.8181818181818121E-2</v>
      </c>
      <c r="Q55" s="57">
        <f t="shared" si="40"/>
        <v>6.8181818181818121E-2</v>
      </c>
      <c r="S55" s="25" t="str">
        <f t="shared" si="41"/>
        <v>20015Gestão de Conteúdo em Comunicação - Jornalismo268,0203045685284,0203045685279226418</v>
      </c>
      <c r="T55" s="25" t="str">
        <f>'[30]Preços 2017 - Região S e SE'!$B$22&amp;'[30]Preços 2017 - Região S e SE'!$C$22&amp;'[30]Preços 2017 - Região S e SE'!$D$22&amp;'[30]Preços 2017 - Região S e SE'!$E$22&amp;'[30]Preços 2017 - Região S e SE'!$F$22&amp;'[30]Preços 2017 - Região S e SE'!$G$22</f>
        <v>20015Gestão de Conteúdo em Comunicação - Jornalismo268,0203045685284,0203045685279226418</v>
      </c>
      <c r="U55" s="25" t="b">
        <f t="shared" si="42"/>
        <v>1</v>
      </c>
      <c r="W55" s="25" t="str">
        <f t="shared" si="43"/>
        <v>20015Gestão de Conteúdo em Comunicação - Jornalismo286,2944162436554,2944162436548228218</v>
      </c>
      <c r="X55" s="25" t="str">
        <f>'Preços 2018 - Região S e SE'!B22&amp;'Preços 2018 - Região S e SE'!C22&amp;'Preços 2018 - Região S e SE'!D22&amp;'Preços 2018 - Região S e SE'!E22&amp;'Preços 2018 - Região S e SE'!F22&amp;'Preços 2018 - Região S e SE'!G22</f>
        <v>20015Gestão de Conteúdo em Comunicação - Jornalismo294,4162436548224,4162436548223329018</v>
      </c>
      <c r="Y55" s="25" t="b">
        <f t="shared" si="44"/>
        <v>0</v>
      </c>
    </row>
    <row r="56" spans="2:25" x14ac:dyDescent="0.2">
      <c r="B56" s="34">
        <v>20027</v>
      </c>
      <c r="C56" s="32" t="s">
        <v>16</v>
      </c>
      <c r="D56" s="35">
        <f t="shared" si="33"/>
        <v>283.24873096446703</v>
      </c>
      <c r="E56" s="35">
        <f t="shared" si="34"/>
        <v>4.248730964467005</v>
      </c>
      <c r="F56" s="35">
        <f>'[30]Preços 2017 - Região S e SE'!$F$23</f>
        <v>279</v>
      </c>
      <c r="G56" s="82">
        <f>'[30]Preços 2017 - Região S e SE'!$G$23</f>
        <v>18</v>
      </c>
      <c r="H56" s="23"/>
      <c r="I56" s="43">
        <f t="shared" si="47"/>
        <v>301.52284263959393</v>
      </c>
      <c r="J56" s="43">
        <f t="shared" si="48"/>
        <v>4.5228426395939092</v>
      </c>
      <c r="K56" s="43">
        <f t="shared" si="35"/>
        <v>297</v>
      </c>
      <c r="L56" s="91">
        <f t="shared" si="36"/>
        <v>18</v>
      </c>
      <c r="N56" s="92">
        <f t="shared" si="37"/>
        <v>0</v>
      </c>
      <c r="O56" s="57">
        <f t="shared" si="38"/>
        <v>1.5000000000000001E-2</v>
      </c>
      <c r="P56" s="57">
        <f t="shared" si="39"/>
        <v>6.4516129032258007E-2</v>
      </c>
      <c r="Q56" s="57">
        <f t="shared" si="40"/>
        <v>6.4516129032258007E-2</v>
      </c>
      <c r="S56" s="25" t="str">
        <f t="shared" si="41"/>
        <v>20027Gestão de Projetos com Práticas Alinhadas ao PMI®283,2487309644674,2487309644670127918</v>
      </c>
      <c r="T56" s="25" t="str">
        <f>'[30]Preços 2017 - Região S e SE'!$B$23&amp;'[30]Preços 2017 - Região S e SE'!$C$23&amp;'[30]Preços 2017 - Região S e SE'!$D$23&amp;'[30]Preços 2017 - Região S e SE'!$E$23&amp;'[30]Preços 2017 - Região S e SE'!$F$23&amp;'[30]Preços 2017 - Região S e SE'!$G$23</f>
        <v>20027Gestão de Projetos com Práticas Alinhadas ao PMI®283,2487309644674,2487309644670127918</v>
      </c>
      <c r="U56" s="25" t="b">
        <f t="shared" si="42"/>
        <v>1</v>
      </c>
      <c r="W56" s="25" t="str">
        <f t="shared" si="43"/>
        <v>20027Gestão de Projetos com Práticas Alinhadas ao PMI®301,5228426395944,5228426395939129718</v>
      </c>
      <c r="X56" s="25" t="str">
        <f>'Preços 2018 - Região S e SE'!B23&amp;'Preços 2018 - Região S e SE'!C23&amp;'Preços 2018 - Região S e SE'!D23&amp;'Preços 2018 - Região S e SE'!E23&amp;'Preços 2018 - Região S e SE'!F23&amp;'Preços 2018 - Região S e SE'!G23</f>
        <v>20027Gestão de Projetos com Práticas Alinhadas ao PMI®294,4162436548224,4162436548223329018</v>
      </c>
      <c r="Y56" s="25" t="b">
        <f t="shared" si="44"/>
        <v>0</v>
      </c>
    </row>
    <row r="57" spans="2:25" x14ac:dyDescent="0.2">
      <c r="B57" s="34">
        <v>20729</v>
      </c>
      <c r="C57" s="32" t="s">
        <v>9</v>
      </c>
      <c r="D57" s="35">
        <f t="shared" si="33"/>
        <v>259.89847715736039</v>
      </c>
      <c r="E57" s="35">
        <f t="shared" si="34"/>
        <v>3.8984771573604058</v>
      </c>
      <c r="F57" s="35">
        <f>'[30]Preços 2017 - Região S e SE'!$F$24</f>
        <v>256</v>
      </c>
      <c r="G57" s="82">
        <f>'[30]Preços 2017 - Região S e SE'!$G$24</f>
        <v>18</v>
      </c>
      <c r="H57" s="23"/>
      <c r="I57" s="43">
        <f t="shared" si="47"/>
        <v>277.15736040609136</v>
      </c>
      <c r="J57" s="43">
        <f t="shared" si="48"/>
        <v>4.15736040609137</v>
      </c>
      <c r="K57" s="43">
        <f t="shared" si="35"/>
        <v>273</v>
      </c>
      <c r="L57" s="91">
        <f t="shared" si="36"/>
        <v>18</v>
      </c>
      <c r="N57" s="92">
        <f t="shared" si="37"/>
        <v>0</v>
      </c>
      <c r="O57" s="57">
        <f t="shared" si="38"/>
        <v>1.4999999999999999E-2</v>
      </c>
      <c r="P57" s="57">
        <f t="shared" si="39"/>
        <v>6.640625E-2</v>
      </c>
      <c r="Q57" s="57">
        <f t="shared" si="40"/>
        <v>6.640625E-2</v>
      </c>
      <c r="S57" s="25" t="str">
        <f t="shared" si="41"/>
        <v>20729Gestão Empresarial259,898477157363,8984771573604125618</v>
      </c>
      <c r="T57" s="25" t="str">
        <f>'[30]Preços 2017 - Região S e SE'!$B$24&amp;'[30]Preços 2017 - Região S e SE'!$C$24&amp;'[30]Preços 2017 - Região S e SE'!$D$24&amp;'[30]Preços 2017 - Região S e SE'!$E$24&amp;'[30]Preços 2017 - Região S e SE'!$F$24&amp;'[30]Preços 2017 - Região S e SE'!$G$24</f>
        <v>20729Gestão Empresarial259,898477157363,8984771573604125618</v>
      </c>
      <c r="U57" s="25" t="b">
        <f t="shared" si="42"/>
        <v>1</v>
      </c>
      <c r="W57" s="25" t="str">
        <f t="shared" si="43"/>
        <v>20729Gestão Empresarial277,1573604060914,1573604060913727318</v>
      </c>
      <c r="X57" s="25" t="str">
        <f>'Preços 2018 - Região S e SE'!B24&amp;'Preços 2018 - Região S e SE'!C24&amp;'Preços 2018 - Região S e SE'!D24&amp;'Preços 2018 - Região S e SE'!E24&amp;'Preços 2018 - Região S e SE'!F24&amp;'Preços 2018 - Região S e SE'!G24</f>
        <v>20729Gestão Empresarial294,4162436548224,4162436548223329018</v>
      </c>
      <c r="Y57" s="25" t="b">
        <f t="shared" si="44"/>
        <v>0</v>
      </c>
    </row>
    <row r="58" spans="2:25" x14ac:dyDescent="0.2">
      <c r="B58" s="34">
        <v>20830</v>
      </c>
      <c r="C58" s="32" t="s">
        <v>19</v>
      </c>
      <c r="D58" s="35">
        <f t="shared" si="33"/>
        <v>247.71573604060913</v>
      </c>
      <c r="E58" s="35">
        <f t="shared" si="34"/>
        <v>3.7157360406091366</v>
      </c>
      <c r="F58" s="35">
        <f>'[30]Preços 2017 - Região S e SE'!$F$25</f>
        <v>244</v>
      </c>
      <c r="G58" s="82">
        <f>'[30]Preços 2017 - Região S e SE'!$G$25</f>
        <v>18</v>
      </c>
      <c r="H58" s="23"/>
      <c r="I58" s="43">
        <f t="shared" si="47"/>
        <v>264.97461928934013</v>
      </c>
      <c r="J58" s="43">
        <f t="shared" si="48"/>
        <v>3.9746192893401018</v>
      </c>
      <c r="K58" s="43">
        <f t="shared" si="35"/>
        <v>261</v>
      </c>
      <c r="L58" s="91">
        <f t="shared" si="36"/>
        <v>18</v>
      </c>
      <c r="N58" s="92">
        <f t="shared" si="37"/>
        <v>0</v>
      </c>
      <c r="O58" s="57">
        <f t="shared" si="38"/>
        <v>1.4999999999999999E-2</v>
      </c>
      <c r="P58" s="57">
        <f t="shared" si="39"/>
        <v>6.9672131147541005E-2</v>
      </c>
      <c r="Q58" s="57">
        <f t="shared" si="40"/>
        <v>6.9672131147541005E-2</v>
      </c>
      <c r="S58" s="25" t="str">
        <f t="shared" si="41"/>
        <v>20830Gestão Estratégica da Tecnologia da Informação 247,7157360406093,7157360406091424418</v>
      </c>
      <c r="T58" s="25" t="str">
        <f>'[30]Preços 2017 - Região S e SE'!$B$25&amp;'[30]Preços 2017 - Região S e SE'!$C$25&amp;'[30]Preços 2017 - Região S e SE'!$D$25&amp;'[30]Preços 2017 - Região S e SE'!$E$25&amp;'[30]Preços 2017 - Região S e SE'!$F$25&amp;'[30]Preços 2017 - Região S e SE'!$G$25</f>
        <v>20830Gestão Estratégica da Tecnologia da Informação 247,7157360406093,7157360406091424418</v>
      </c>
      <c r="U58" s="25" t="b">
        <f t="shared" si="42"/>
        <v>1</v>
      </c>
      <c r="W58" s="25" t="str">
        <f t="shared" si="43"/>
        <v>20830Gestão Estratégica da Tecnologia da Informação 264,974619289343,974619289340126118</v>
      </c>
      <c r="X58" s="25" t="str">
        <f>'Preços 2018 - Região S e SE'!B25&amp;'Preços 2018 - Região S e SE'!C25&amp;'Preços 2018 - Região S e SE'!D25&amp;'Preços 2018 - Região S e SE'!E25&amp;'Preços 2018 - Região S e SE'!F25&amp;'Preços 2018 - Região S e SE'!G25</f>
        <v>20830Gestão Estratégica da Tecnologia da Informação 294,4162436548224,4162436548223329018</v>
      </c>
      <c r="Y58" s="25" t="b">
        <f t="shared" si="44"/>
        <v>0</v>
      </c>
    </row>
    <row r="59" spans="2:25" x14ac:dyDescent="0.2">
      <c r="B59" s="34">
        <v>20007</v>
      </c>
      <c r="C59" s="32" t="s">
        <v>7</v>
      </c>
      <c r="D59" s="35">
        <f t="shared" si="33"/>
        <v>262.94416243654825</v>
      </c>
      <c r="E59" s="35">
        <f t="shared" si="34"/>
        <v>3.9441624365482237</v>
      </c>
      <c r="F59" s="35">
        <f>'[30]Preços 2017 - Região S e SE'!$F$26</f>
        <v>259</v>
      </c>
      <c r="G59" s="82">
        <f>'[30]Preços 2017 - Região S e SE'!$G$26</f>
        <v>18</v>
      </c>
      <c r="H59" s="23"/>
      <c r="I59" s="43">
        <f t="shared" si="47"/>
        <v>280.20304568527916</v>
      </c>
      <c r="J59" s="43">
        <f t="shared" si="48"/>
        <v>4.2030456852791875</v>
      </c>
      <c r="K59" s="43">
        <f t="shared" si="35"/>
        <v>276</v>
      </c>
      <c r="L59" s="91">
        <f t="shared" si="36"/>
        <v>18</v>
      </c>
      <c r="N59" s="92">
        <f t="shared" si="37"/>
        <v>0</v>
      </c>
      <c r="O59" s="57">
        <f t="shared" si="38"/>
        <v>1.4999999999999999E-2</v>
      </c>
      <c r="P59" s="57">
        <f t="shared" si="39"/>
        <v>6.5637065637065506E-2</v>
      </c>
      <c r="Q59" s="57">
        <f t="shared" si="40"/>
        <v>6.5637065637065728E-2</v>
      </c>
      <c r="S59" s="25" t="str">
        <f t="shared" si="41"/>
        <v>20007Gestão Estratégica de Pessoas e Psicologia Organizacional262,9441624365483,9441624365482225918</v>
      </c>
      <c r="T59" s="25" t="str">
        <f>'[30]Preços 2017 - Região S e SE'!$B$26&amp;'[30]Preços 2017 - Região S e SE'!$C$26&amp;'[30]Preços 2017 - Região S e SE'!$D$26&amp;'[30]Preços 2017 - Região S e SE'!$E$26&amp;'[30]Preços 2017 - Região S e SE'!$F$26&amp;'[30]Preços 2017 - Região S e SE'!$G$26</f>
        <v>20007Gestão Estratégica de Pessoas e Psicologia Organizacional262,9441624365483,9441624365482225918</v>
      </c>
      <c r="U59" s="25" t="b">
        <f t="shared" si="42"/>
        <v>1</v>
      </c>
      <c r="W59" s="25" t="str">
        <f t="shared" si="43"/>
        <v>20007Gestão Estratégica de Pessoas e Psicologia Organizacional280,2030456852794,2030456852791927618</v>
      </c>
      <c r="X59" s="25" t="str">
        <f>'Preços 2018 - Região S e SE'!B26&amp;'Preços 2018 - Região S e SE'!C26&amp;'Preços 2018 - Região S e SE'!D26&amp;'Preços 2018 - Região S e SE'!E26&amp;'Preços 2018 - Região S e SE'!F26&amp;'Preços 2018 - Região S e SE'!G26</f>
        <v>20007Gestão Estratégica de Pessoas e Psicologia Organizacional294,4162436548224,4162436548223329018</v>
      </c>
      <c r="Y59" s="25" t="b">
        <f t="shared" si="44"/>
        <v>0</v>
      </c>
    </row>
    <row r="60" spans="2:25" x14ac:dyDescent="0.2">
      <c r="B60" s="34">
        <v>20833</v>
      </c>
      <c r="C60" s="32" t="s">
        <v>43</v>
      </c>
      <c r="D60" s="35">
        <f t="shared" si="33"/>
        <v>264.97461928934013</v>
      </c>
      <c r="E60" s="35">
        <f t="shared" si="34"/>
        <v>3.9746192893401018</v>
      </c>
      <c r="F60" s="35">
        <f>'[30]Preços 2017 - Região S e SE'!$F$27</f>
        <v>261</v>
      </c>
      <c r="G60" s="82">
        <f>'[30]Preços 2017 - Região S e SE'!$G$27</f>
        <v>18</v>
      </c>
      <c r="H60" s="23"/>
      <c r="I60" s="43">
        <f t="shared" si="47"/>
        <v>282.23350253807109</v>
      </c>
      <c r="J60" s="43">
        <f t="shared" si="48"/>
        <v>4.2335025380710665</v>
      </c>
      <c r="K60" s="43">
        <f t="shared" si="35"/>
        <v>278</v>
      </c>
      <c r="L60" s="91">
        <f t="shared" si="36"/>
        <v>18</v>
      </c>
      <c r="N60" s="92">
        <f t="shared" si="37"/>
        <v>0</v>
      </c>
      <c r="O60" s="57">
        <f t="shared" si="38"/>
        <v>1.4999999999999999E-2</v>
      </c>
      <c r="P60" s="57">
        <f t="shared" si="39"/>
        <v>6.5134099616858343E-2</v>
      </c>
      <c r="Q60" s="57">
        <f t="shared" si="40"/>
        <v>6.5134099616858343E-2</v>
      </c>
      <c r="S60" s="25" t="str">
        <f t="shared" si="41"/>
        <v>20833Gestão Inteligente: Liderança, Coaching e Inovação264,974619289343,974619289340126118</v>
      </c>
      <c r="T60" s="25" t="str">
        <f>'[30]Preços 2017 - Região S e SE'!$B$27&amp;'[30]Preços 2017 - Região S e SE'!$C$27&amp;'[30]Preços 2017 - Região S e SE'!$D$27&amp;'[30]Preços 2017 - Região S e SE'!$E$27&amp;'[30]Preços 2017 - Região S e SE'!$F$27&amp;'[30]Preços 2017 - Região S e SE'!$G$27</f>
        <v>20833Gestão Inteligente: Liderança, Coaching e Inovação264,974619289343,974619289340126118</v>
      </c>
      <c r="U60" s="25" t="b">
        <f t="shared" si="42"/>
        <v>1</v>
      </c>
      <c r="W60" s="25" t="str">
        <f t="shared" si="43"/>
        <v>20833Gestão Inteligente: Liderança, Coaching e Inovação282,2335025380714,2335025380710727818</v>
      </c>
      <c r="X60" s="25" t="str">
        <f>'Preços 2018 - Região S e SE'!B27&amp;'Preços 2018 - Região S e SE'!C27&amp;'Preços 2018 - Região S e SE'!D27&amp;'Preços 2018 - Região S e SE'!E27&amp;'Preços 2018 - Região S e SE'!F27&amp;'Preços 2018 - Região S e SE'!G27</f>
        <v>20833Gestão Inteligente: Liderança, Coaching e Inovação294,4162436548224,4162436548223329018</v>
      </c>
      <c r="Y60" s="25" t="b">
        <f t="shared" si="44"/>
        <v>0</v>
      </c>
    </row>
    <row r="61" spans="2:25" x14ac:dyDescent="0.2">
      <c r="B61" s="34">
        <v>20817</v>
      </c>
      <c r="C61" s="32" t="s">
        <v>17</v>
      </c>
      <c r="D61" s="35">
        <f t="shared" si="33"/>
        <v>280.20304568527916</v>
      </c>
      <c r="E61" s="35">
        <f t="shared" si="34"/>
        <v>4.2030456852791875</v>
      </c>
      <c r="F61" s="35">
        <f>'[30]Preços 2017 - Região S e SE'!$F$28</f>
        <v>276</v>
      </c>
      <c r="G61" s="82">
        <f>'[30]Preços 2017 - Região S e SE'!$G$28</f>
        <v>18</v>
      </c>
      <c r="H61" s="23"/>
      <c r="I61" s="43">
        <f t="shared" si="47"/>
        <v>298.47715736040607</v>
      </c>
      <c r="J61" s="43">
        <f t="shared" si="48"/>
        <v>4.4771573604060908</v>
      </c>
      <c r="K61" s="43">
        <f t="shared" si="35"/>
        <v>294</v>
      </c>
      <c r="L61" s="91">
        <f t="shared" si="36"/>
        <v>18</v>
      </c>
      <c r="N61" s="92">
        <f t="shared" si="37"/>
        <v>0</v>
      </c>
      <c r="O61" s="57">
        <f t="shared" si="38"/>
        <v>1.4999999999999999E-2</v>
      </c>
      <c r="P61" s="57">
        <f t="shared" si="39"/>
        <v>6.5217391304347894E-2</v>
      </c>
      <c r="Q61" s="57">
        <f t="shared" si="40"/>
        <v>6.5217391304347894E-2</v>
      </c>
      <c r="S61" s="25" t="str">
        <f t="shared" si="41"/>
        <v>20817Logística Empresarial e Supply Chain280,2030456852794,2030456852791927618</v>
      </c>
      <c r="T61" s="25" t="str">
        <f>'[30]Preços 2017 - Região S e SE'!$B$28&amp;'[30]Preços 2017 - Região S e SE'!$C$28&amp;'[30]Preços 2017 - Região S e SE'!$D$28&amp;'[30]Preços 2017 - Região S e SE'!$E$28&amp;'[30]Preços 2017 - Região S e SE'!$F$28&amp;'[30]Preços 2017 - Região S e SE'!$G$28</f>
        <v>20817Logística Empresarial e Supply Chain280,2030456852794,2030456852791927618</v>
      </c>
      <c r="U61" s="25" t="b">
        <f t="shared" si="42"/>
        <v>1</v>
      </c>
      <c r="W61" s="25" t="str">
        <f t="shared" si="43"/>
        <v>20817Logística Empresarial e Supply Chain298,4771573604064,4771573604060929418</v>
      </c>
      <c r="X61" s="25" t="str">
        <f>'Preços 2018 - Região S e SE'!B28&amp;'Preços 2018 - Região S e SE'!C28&amp;'Preços 2018 - Região S e SE'!D28&amp;'Preços 2018 - Região S e SE'!E28&amp;'Preços 2018 - Região S e SE'!F28&amp;'Preços 2018 - Região S e SE'!G28</f>
        <v>20817Logística Empresarial e Supply Chain294,4162436548224,4162436548223329018</v>
      </c>
      <c r="Y61" s="25" t="b">
        <f t="shared" si="44"/>
        <v>0</v>
      </c>
    </row>
    <row r="62" spans="2:25" x14ac:dyDescent="0.2">
      <c r="B62" s="34">
        <v>20012</v>
      </c>
      <c r="C62" s="32" t="s">
        <v>13</v>
      </c>
      <c r="D62" s="35">
        <f t="shared" si="33"/>
        <v>262.94416243654825</v>
      </c>
      <c r="E62" s="35">
        <f t="shared" si="34"/>
        <v>3.9441624365482237</v>
      </c>
      <c r="F62" s="35">
        <f>'[30]Preços 2017 - Região S e SE'!$F$29</f>
        <v>259</v>
      </c>
      <c r="G62" s="82">
        <f>'[30]Preços 2017 - Região S e SE'!$G$29</f>
        <v>18</v>
      </c>
      <c r="H62" s="30"/>
      <c r="I62" s="43">
        <f t="shared" ref="I62" si="49">K62/(1-$M$4)</f>
        <v>280.20304568527916</v>
      </c>
      <c r="J62" s="43">
        <f t="shared" ref="J62" si="50">I62*$M$4</f>
        <v>4.2030456852791875</v>
      </c>
      <c r="K62" s="43">
        <f t="shared" si="35"/>
        <v>276</v>
      </c>
      <c r="L62" s="91">
        <f t="shared" si="36"/>
        <v>18</v>
      </c>
      <c r="N62" s="92">
        <f t="shared" si="37"/>
        <v>0</v>
      </c>
      <c r="O62" s="57">
        <f t="shared" si="38"/>
        <v>1.4999999999999999E-2</v>
      </c>
      <c r="P62" s="57">
        <f t="shared" si="39"/>
        <v>6.5637065637065506E-2</v>
      </c>
      <c r="Q62" s="57">
        <f t="shared" si="40"/>
        <v>6.5637065637065728E-2</v>
      </c>
      <c r="S62" s="25" t="str">
        <f t="shared" si="41"/>
        <v>20012Marketing262,9441624365483,9441624365482225918</v>
      </c>
      <c r="T62" s="25" t="str">
        <f>'[30]Preços 2017 - Região S e SE'!$B$29&amp;'[30]Preços 2017 - Região S e SE'!$C$29&amp;'[30]Preços 2017 - Região S e SE'!$D$29&amp;'[30]Preços 2017 - Região S e SE'!$E$29&amp;'[30]Preços 2017 - Região S e SE'!$F$29&amp;'[30]Preços 2017 - Região S e SE'!$G$29</f>
        <v>20012Marketing262,9441624365483,9441624365482225918</v>
      </c>
      <c r="U62" s="25" t="b">
        <f t="shared" si="42"/>
        <v>1</v>
      </c>
      <c r="W62" s="25" t="str">
        <f t="shared" si="43"/>
        <v>20012Marketing280,2030456852794,2030456852791927618</v>
      </c>
      <c r="X62" s="25" t="str">
        <f>'Preços 2018 - Região S e SE'!B29&amp;'Preços 2018 - Região S e SE'!C29&amp;'Preços 2018 - Região S e SE'!D29&amp;'Preços 2018 - Região S e SE'!E29&amp;'Preços 2018 - Região S e SE'!F29&amp;'Preços 2018 - Região S e SE'!G29</f>
        <v>20012Marketing294,4162436548224,4162436548223329018</v>
      </c>
      <c r="Y62" s="25" t="b">
        <f t="shared" si="44"/>
        <v>0</v>
      </c>
    </row>
    <row r="63" spans="2:25" x14ac:dyDescent="0.2">
      <c r="B63" s="34">
        <v>20816</v>
      </c>
      <c r="C63" s="32" t="s">
        <v>18</v>
      </c>
      <c r="D63" s="35">
        <f t="shared" si="33"/>
        <v>273.09644670050761</v>
      </c>
      <c r="E63" s="35">
        <f t="shared" si="34"/>
        <v>4.0964467005076139</v>
      </c>
      <c r="F63" s="35">
        <f>'[30]Preços 2017 - Região S e SE'!$F$30</f>
        <v>269</v>
      </c>
      <c r="G63" s="82">
        <f>'[30]Preços 2017 - Região S e SE'!$G$30</f>
        <v>18</v>
      </c>
      <c r="H63" s="23"/>
      <c r="I63" s="43">
        <f>K63/(1-$M$4)</f>
        <v>291.37055837563452</v>
      </c>
      <c r="J63" s="43">
        <f>I63*$M$4</f>
        <v>4.3705583756345172</v>
      </c>
      <c r="K63" s="43">
        <f t="shared" si="35"/>
        <v>287</v>
      </c>
      <c r="L63" s="91">
        <f t="shared" si="36"/>
        <v>18</v>
      </c>
      <c r="N63" s="92">
        <f t="shared" si="37"/>
        <v>0</v>
      </c>
      <c r="O63" s="57">
        <f t="shared" si="38"/>
        <v>1.4999999999999998E-2</v>
      </c>
      <c r="P63" s="57">
        <f t="shared" si="39"/>
        <v>6.6914498141263934E-2</v>
      </c>
      <c r="Q63" s="57">
        <f t="shared" si="40"/>
        <v>6.6914498141263934E-2</v>
      </c>
      <c r="S63" s="25" t="str">
        <f t="shared" si="41"/>
        <v>20816MBA - Gestão de Varejo273,0964467005084,0964467005076126918</v>
      </c>
      <c r="T63" s="25" t="str">
        <f>'[30]Preços 2017 - Região S e SE'!$B$30&amp;'[30]Preços 2017 - Região S e SE'!$C$30&amp;'[30]Preços 2017 - Região S e SE'!$D$30&amp;'[30]Preços 2017 - Região S e SE'!$E$30&amp;'[30]Preços 2017 - Região S e SE'!$F$30&amp;'[30]Preços 2017 - Região S e SE'!$G$30</f>
        <v>20816MBA - Gestão de Varejo273,0964467005084,0964467005076126918</v>
      </c>
      <c r="U63" s="25" t="b">
        <f t="shared" si="42"/>
        <v>1</v>
      </c>
      <c r="W63" s="25" t="str">
        <f t="shared" si="43"/>
        <v>20816MBA - Gestão de Varejo291,3705583756354,3705583756345228718</v>
      </c>
      <c r="X63" s="25" t="str">
        <f>'Preços 2018 - Região S e SE'!B30&amp;'Preços 2018 - Região S e SE'!C30&amp;'Preços 2018 - Região S e SE'!D30&amp;'Preços 2018 - Região S e SE'!E30&amp;'Preços 2018 - Região S e SE'!F30&amp;'Preços 2018 - Região S e SE'!G30</f>
        <v>20816MBA - Gestão de Varejo294,4162436548224,4162436548223329018</v>
      </c>
      <c r="Y63" s="25" t="b">
        <f t="shared" si="44"/>
        <v>0</v>
      </c>
    </row>
    <row r="64" spans="2:25" x14ac:dyDescent="0.2">
      <c r="B64" s="54">
        <v>20026</v>
      </c>
      <c r="C64" s="32" t="s">
        <v>41</v>
      </c>
      <c r="D64" s="35">
        <f t="shared" si="33"/>
        <v>247.71573604060913</v>
      </c>
      <c r="E64" s="35">
        <f t="shared" si="34"/>
        <v>3.7157360406091366</v>
      </c>
      <c r="F64" s="35">
        <f>'[30]Preços 2017 - Região S e SE'!$F$31</f>
        <v>244</v>
      </c>
      <c r="G64" s="82">
        <f>'[30]Preços 2017 - Região S e SE'!$G$31</f>
        <v>18</v>
      </c>
      <c r="H64" s="23"/>
      <c r="I64" s="43">
        <f>K64/(1-$M$4)</f>
        <v>264.97461928934013</v>
      </c>
      <c r="J64" s="43">
        <f>I64*$M$4</f>
        <v>3.9746192893401018</v>
      </c>
      <c r="K64" s="43">
        <f t="shared" si="35"/>
        <v>261</v>
      </c>
      <c r="L64" s="91">
        <f t="shared" si="36"/>
        <v>18</v>
      </c>
      <c r="N64" s="92">
        <f t="shared" si="37"/>
        <v>0</v>
      </c>
      <c r="O64" s="57">
        <f t="shared" si="38"/>
        <v>1.4999999999999999E-2</v>
      </c>
      <c r="P64" s="57">
        <f t="shared" si="39"/>
        <v>6.9672131147541005E-2</v>
      </c>
      <c r="Q64" s="57">
        <f t="shared" si="40"/>
        <v>6.9672131147541005E-2</v>
      </c>
      <c r="S64" s="25" t="str">
        <f t="shared" si="41"/>
        <v>20026Mediação e Arbitragem247,7157360406093,7157360406091424418</v>
      </c>
      <c r="T64" s="25" t="str">
        <f>'[30]Preços 2017 - Região S e SE'!$B$31&amp;'[30]Preços 2017 - Região S e SE'!$C$31&amp;'[30]Preços 2017 - Região S e SE'!$D$31&amp;'[30]Preços 2017 - Região S e SE'!$E$31&amp;'[30]Preços 2017 - Região S e SE'!$F$31&amp;'[30]Preços 2017 - Região S e SE'!$G$31</f>
        <v>20026Mediação e Arbitragem247,7157360406093,7157360406091424418</v>
      </c>
      <c r="U64" s="25" t="b">
        <f t="shared" si="42"/>
        <v>1</v>
      </c>
      <c r="W64" s="25" t="str">
        <f t="shared" si="43"/>
        <v>20026Mediação e Arbitragem264,974619289343,974619289340126118</v>
      </c>
      <c r="X64" s="25" t="str">
        <f>'Preços 2018 - Região S e SE'!B31&amp;'Preços 2018 - Região S e SE'!C31&amp;'Preços 2018 - Região S e SE'!D31&amp;'Preços 2018 - Região S e SE'!E31&amp;'Preços 2018 - Região S e SE'!F31&amp;'Preços 2018 - Região S e SE'!G31</f>
        <v>20026Mediação e Arbitragem294,4162436548224,4162436548223329018</v>
      </c>
      <c r="Y64" s="25" t="b">
        <f t="shared" si="44"/>
        <v>0</v>
      </c>
    </row>
    <row r="65" spans="1:25" x14ac:dyDescent="0.2">
      <c r="B65" s="34">
        <v>20022</v>
      </c>
      <c r="C65" s="32" t="s">
        <v>48</v>
      </c>
      <c r="D65" s="35">
        <f t="shared" si="33"/>
        <v>259.89847715736039</v>
      </c>
      <c r="E65" s="35">
        <f t="shared" si="34"/>
        <v>3.8984771573604058</v>
      </c>
      <c r="F65" s="35">
        <f>'[30]Preços 2017 - Região S e SE'!$F$32</f>
        <v>256</v>
      </c>
      <c r="G65" s="82">
        <f>'[30]Preços 2017 - Região S e SE'!$G$32</f>
        <v>18</v>
      </c>
      <c r="H65" s="23"/>
      <c r="I65" s="43">
        <f>K65/(1-$M$4)</f>
        <v>277.15736040609136</v>
      </c>
      <c r="J65" s="43">
        <f>I65*$M$4</f>
        <v>4.15736040609137</v>
      </c>
      <c r="K65" s="43">
        <f t="shared" si="35"/>
        <v>273</v>
      </c>
      <c r="L65" s="91">
        <f t="shared" si="36"/>
        <v>18</v>
      </c>
      <c r="N65" s="92">
        <f t="shared" si="37"/>
        <v>0</v>
      </c>
      <c r="O65" s="57">
        <f t="shared" si="38"/>
        <v>1.4999999999999999E-2</v>
      </c>
      <c r="P65" s="57">
        <f t="shared" si="39"/>
        <v>6.640625E-2</v>
      </c>
      <c r="Q65" s="57">
        <f t="shared" si="40"/>
        <v>6.640625E-2</v>
      </c>
      <c r="S65" s="25" t="str">
        <f t="shared" si="41"/>
        <v>20022Português - Língua e Literatura259,898477157363,8984771573604125618</v>
      </c>
      <c r="T65" s="25" t="str">
        <f>'[30]Preços 2017 - Região S e SE'!$B$32&amp;'[30]Preços 2017 - Região S e SE'!$C$32&amp;'[30]Preços 2017 - Região S e SE'!$D$32&amp;'[30]Preços 2017 - Região S e SE'!$E$32&amp;'[30]Preços 2017 - Região S e SE'!$F$32&amp;'[30]Preços 2017 - Região S e SE'!$G$32</f>
        <v>20022Português - Língua e Literatura259,898477157363,8984771573604125618</v>
      </c>
      <c r="U65" s="25" t="b">
        <f t="shared" si="42"/>
        <v>1</v>
      </c>
      <c r="W65" s="25" t="str">
        <f t="shared" si="43"/>
        <v>20022Português - Língua e Literatura277,1573604060914,1573604060913727318</v>
      </c>
      <c r="X65" s="25" t="str">
        <f>'Preços 2018 - Região S e SE'!B32&amp;'Preços 2018 - Região S e SE'!C32&amp;'Preços 2018 - Região S e SE'!D32&amp;'Preços 2018 - Região S e SE'!E32&amp;'Preços 2018 - Região S e SE'!F32&amp;'Preços 2018 - Região S e SE'!G32</f>
        <v>20022Português - Língua e Literatura294,4162436548224,4162436548223329018</v>
      </c>
      <c r="Y65" s="25" t="b">
        <f t="shared" si="44"/>
        <v>0</v>
      </c>
    </row>
    <row r="66" spans="1:25" x14ac:dyDescent="0.2">
      <c r="B66" s="34">
        <v>20031</v>
      </c>
      <c r="C66" s="32" t="s">
        <v>23</v>
      </c>
      <c r="D66" s="35">
        <f t="shared" si="33"/>
        <v>263.95939086294419</v>
      </c>
      <c r="E66" s="35">
        <f t="shared" si="34"/>
        <v>3.9593908629441628</v>
      </c>
      <c r="F66" s="35">
        <f>'[30]Preços 2017 - Região S e SE'!$F$33</f>
        <v>260</v>
      </c>
      <c r="G66" s="82">
        <f>'[30]Preços 2017 - Região S e SE'!$G$33</f>
        <v>18</v>
      </c>
      <c r="H66" s="30"/>
      <c r="I66" s="43">
        <f t="shared" ref="I66" si="51">K66/(1-$M$4)</f>
        <v>281.21827411167516</v>
      </c>
      <c r="J66" s="43">
        <f t="shared" ref="J66" si="52">I66*$M$4</f>
        <v>4.218274111675127</v>
      </c>
      <c r="K66" s="43">
        <f t="shared" si="35"/>
        <v>277</v>
      </c>
      <c r="L66" s="91">
        <f t="shared" si="36"/>
        <v>18</v>
      </c>
      <c r="N66" s="92">
        <f t="shared" si="37"/>
        <v>0</v>
      </c>
      <c r="O66" s="57">
        <f t="shared" si="38"/>
        <v>1.4999999999999999E-2</v>
      </c>
      <c r="P66" s="57">
        <f t="shared" si="39"/>
        <v>6.5384615384615374E-2</v>
      </c>
      <c r="Q66" s="57">
        <f t="shared" si="40"/>
        <v>6.5384615384615374E-2</v>
      </c>
      <c r="S66" s="25" t="str">
        <f t="shared" si="41"/>
        <v>20031Prática de Ensino de Ciências para Educação Infantil e Fundamental I263,9593908629443,9593908629441626018</v>
      </c>
      <c r="T66" s="25" t="str">
        <f>'[30]Preços 2017 - Região S e SE'!$B$33&amp;'[30]Preços 2017 - Região S e SE'!$C$33&amp;'[30]Preços 2017 - Região S e SE'!$D$33&amp;'[30]Preços 2017 - Região S e SE'!$E$33&amp;'[30]Preços 2017 - Região S e SE'!$F$33&amp;'[30]Preços 2017 - Região S e SE'!$G$33</f>
        <v>20031Prática de Ensino de Ciências para Educação Infantil e Fundamental I263,9593908629443,9593908629441626018</v>
      </c>
      <c r="U66" s="25" t="b">
        <f t="shared" si="42"/>
        <v>1</v>
      </c>
      <c r="W66" s="25" t="str">
        <f t="shared" si="43"/>
        <v>20031Prática de Ensino de Ciências para Educação Infantil e Fundamental I281,2182741116754,2182741116751327718</v>
      </c>
      <c r="X66" s="25" t="str">
        <f>'Preços 2018 - Região S e SE'!B33&amp;'Preços 2018 - Região S e SE'!C33&amp;'Preços 2018 - Região S e SE'!D33&amp;'Preços 2018 - Região S e SE'!E33&amp;'Preços 2018 - Região S e SE'!F33&amp;'Preços 2018 - Região S e SE'!G33</f>
        <v>20031Prática de Ensino de Ciências para Educação Infantil e Fundamental I294,4162436548224,4162436548223329018</v>
      </c>
      <c r="Y66" s="25" t="b">
        <f t="shared" si="44"/>
        <v>0</v>
      </c>
    </row>
    <row r="67" spans="1:25" x14ac:dyDescent="0.2">
      <c r="B67" s="34">
        <v>20832</v>
      </c>
      <c r="C67" s="32" t="s">
        <v>44</v>
      </c>
      <c r="D67" s="35">
        <f t="shared" si="33"/>
        <v>273.09644670050761</v>
      </c>
      <c r="E67" s="35">
        <f t="shared" si="34"/>
        <v>4.0964467005076139</v>
      </c>
      <c r="F67" s="35">
        <f>'[30]Preços 2017 - Região S e SE'!$F$34</f>
        <v>269</v>
      </c>
      <c r="G67" s="82">
        <f>'[30]Preços 2017 - Região S e SE'!$G$34</f>
        <v>18</v>
      </c>
      <c r="H67" s="45"/>
      <c r="I67" s="43">
        <f>K67/(1-$M$4)</f>
        <v>291.37055837563452</v>
      </c>
      <c r="J67" s="43">
        <f>I67*$M$4</f>
        <v>4.3705583756345172</v>
      </c>
      <c r="K67" s="43">
        <f t="shared" si="35"/>
        <v>287</v>
      </c>
      <c r="L67" s="91">
        <f t="shared" si="36"/>
        <v>18</v>
      </c>
      <c r="N67" s="92">
        <f t="shared" si="37"/>
        <v>0</v>
      </c>
      <c r="O67" s="57">
        <f t="shared" si="38"/>
        <v>1.4999999999999998E-2</v>
      </c>
      <c r="P67" s="57">
        <f t="shared" si="39"/>
        <v>6.6914498141263934E-2</v>
      </c>
      <c r="Q67" s="57">
        <f t="shared" si="40"/>
        <v>6.6914498141263934E-2</v>
      </c>
      <c r="S67" s="25" t="str">
        <f t="shared" si="41"/>
        <v>20832Profetismo Apocalíptico273,0964467005084,0964467005076126918</v>
      </c>
      <c r="T67" s="25" t="str">
        <f>'[30]Preços 2017 - Região S e SE'!$B$34&amp;'[30]Preços 2017 - Região S e SE'!$C$34&amp;'[30]Preços 2017 - Região S e SE'!$D$34&amp;'[30]Preços 2017 - Região S e SE'!$E$34&amp;'[30]Preços 2017 - Região S e SE'!$F$34&amp;'[30]Preços 2017 - Região S e SE'!$G$34</f>
        <v>20832Profetismo Apocalíptico273,0964467005084,0964467005076126918</v>
      </c>
      <c r="U67" s="25" t="b">
        <f t="shared" si="42"/>
        <v>1</v>
      </c>
      <c r="W67" s="25" t="str">
        <f t="shared" si="43"/>
        <v>20832Profetismo Apocalíptico291,3705583756354,3705583756345228718</v>
      </c>
      <c r="X67" s="25" t="str">
        <f>'Preços 2018 - Região S e SE'!B34&amp;'Preços 2018 - Região S e SE'!C34&amp;'Preços 2018 - Região S e SE'!D34&amp;'Preços 2018 - Região S e SE'!E34&amp;'Preços 2018 - Região S e SE'!F34&amp;'Preços 2018 - Região S e SE'!G34</f>
        <v>20832Profetismo Apocalíptico294,4162436548224,4162436548223329018</v>
      </c>
      <c r="Y67" s="25" t="b">
        <f t="shared" si="44"/>
        <v>0</v>
      </c>
    </row>
    <row r="68" spans="1:25" x14ac:dyDescent="0.2">
      <c r="B68" s="34">
        <v>20801</v>
      </c>
      <c r="C68" s="32" t="s">
        <v>10</v>
      </c>
      <c r="D68" s="35">
        <f t="shared" si="33"/>
        <v>259.89847715736039</v>
      </c>
      <c r="E68" s="35">
        <f t="shared" si="34"/>
        <v>3.8984771573604058</v>
      </c>
      <c r="F68" s="35">
        <f>'[30]Preços 2017 - Região S e SE'!$F$35</f>
        <v>256</v>
      </c>
      <c r="G68" s="82">
        <f>'[30]Preços 2017 - Região S e SE'!$G$35</f>
        <v>18</v>
      </c>
      <c r="H68" s="23"/>
      <c r="I68" s="43">
        <f>K68/(1-$M$4)</f>
        <v>277.15736040609136</v>
      </c>
      <c r="J68" s="43">
        <f>I68*$M$4</f>
        <v>4.15736040609137</v>
      </c>
      <c r="K68" s="43">
        <f t="shared" si="35"/>
        <v>273</v>
      </c>
      <c r="L68" s="91">
        <f t="shared" si="36"/>
        <v>18</v>
      </c>
      <c r="N68" s="92">
        <f t="shared" si="37"/>
        <v>0</v>
      </c>
      <c r="O68" s="57">
        <f t="shared" si="38"/>
        <v>1.4999999999999999E-2</v>
      </c>
      <c r="P68" s="57">
        <f t="shared" si="39"/>
        <v>6.640625E-2</v>
      </c>
      <c r="Q68" s="57">
        <f t="shared" si="40"/>
        <v>6.640625E-2</v>
      </c>
      <c r="S68" s="25" t="str">
        <f t="shared" si="41"/>
        <v>20801Psicopedagogia259,898477157363,8984771573604125618</v>
      </c>
      <c r="T68" s="25" t="str">
        <f>'[30]Preços 2017 - Região S e SE'!$B$35&amp;'[30]Preços 2017 - Região S e SE'!$C$35&amp;'[30]Preços 2017 - Região S e SE'!$D$35&amp;'[30]Preços 2017 - Região S e SE'!$E$35&amp;'[30]Preços 2017 - Região S e SE'!$F$35&amp;'[30]Preços 2017 - Região S e SE'!$G$35</f>
        <v>20801Psicopedagogia259,898477157363,8984771573604125618</v>
      </c>
      <c r="U68" s="25" t="b">
        <f t="shared" si="42"/>
        <v>1</v>
      </c>
      <c r="W68" s="25" t="str">
        <f t="shared" si="43"/>
        <v>20801Psicopedagogia277,1573604060914,1573604060913727318</v>
      </c>
      <c r="X68" s="25" t="str">
        <f>'Preços 2018 - Região S e SE'!B35&amp;'Preços 2018 - Região S e SE'!C35&amp;'Preços 2018 - Região S e SE'!D35&amp;'Preços 2018 - Região S e SE'!E35&amp;'Preços 2018 - Região S e SE'!F35&amp;'Preços 2018 - Região S e SE'!G35</f>
        <v>20801Psicopedagogia294,4162436548224,4162436548223329018</v>
      </c>
      <c r="Y68" s="25" t="b">
        <f t="shared" si="44"/>
        <v>0</v>
      </c>
    </row>
    <row r="69" spans="1:25" x14ac:dyDescent="0.2">
      <c r="B69" s="54">
        <v>20023</v>
      </c>
      <c r="C69" s="32" t="s">
        <v>49</v>
      </c>
      <c r="D69" s="35">
        <f>F69/(1-$G$4)</f>
        <v>353.29949238578683</v>
      </c>
      <c r="E69" s="35">
        <f>D69*$G$4</f>
        <v>5.2994923857868024</v>
      </c>
      <c r="F69" s="35">
        <f>'[30]Preços 2017 - Região S e SE'!$F$36</f>
        <v>348</v>
      </c>
      <c r="G69" s="82">
        <f>'[30]Preços 2017 - Região S e SE'!$G$36</f>
        <v>18</v>
      </c>
      <c r="H69" s="30"/>
      <c r="I69" s="43">
        <f t="shared" ref="I69" si="53">K69/(1-$M$4)</f>
        <v>376.64974619289342</v>
      </c>
      <c r="J69" s="43">
        <f t="shared" ref="J69" si="54">I69*$M$4</f>
        <v>5.6497461928934012</v>
      </c>
      <c r="K69" s="43">
        <f t="shared" si="35"/>
        <v>371</v>
      </c>
      <c r="L69" s="91">
        <f t="shared" si="36"/>
        <v>18</v>
      </c>
      <c r="N69" s="92">
        <f t="shared" si="37"/>
        <v>0</v>
      </c>
      <c r="O69" s="57">
        <f t="shared" si="38"/>
        <v>1.4999999999999999E-2</v>
      </c>
      <c r="P69" s="57">
        <f t="shared" si="39"/>
        <v>6.6091954022988508E-2</v>
      </c>
      <c r="Q69" s="57">
        <f t="shared" si="40"/>
        <v>6.6091954022988508E-2</v>
      </c>
      <c r="S69" s="25" t="str">
        <f t="shared" si="41"/>
        <v>20023Relações Trabalhistas e Gestão do Passivo353,2994923857875,299492385786834818</v>
      </c>
      <c r="T69" s="25" t="str">
        <f>'[30]Preços 2017 - Região S e SE'!$B$36&amp;'[30]Preços 2017 - Região S e SE'!$C$36&amp;'[30]Preços 2017 - Região S e SE'!$D$36&amp;'[30]Preços 2017 - Região S e SE'!$E$36&amp;'[30]Preços 2017 - Região S e SE'!$F$36&amp;'[30]Preços 2017 - Região S e SE'!$G$36</f>
        <v>20023Relações Trabalhistas e Gestão do Passivo353,2994923857875,299492385786834818</v>
      </c>
      <c r="U69" s="25" t="b">
        <f t="shared" si="42"/>
        <v>1</v>
      </c>
      <c r="W69" s="25" t="str">
        <f t="shared" si="43"/>
        <v>20023Relações Trabalhistas e Gestão do Passivo376,6497461928935,649746192893437118</v>
      </c>
      <c r="X69" s="25" t="e">
        <f>'Preços 2018 - Região S e SE'!B36&amp;'Preços 2018 - Região S e SE'!C36&amp;'Preços 2018 - Região S e SE'!#REF!&amp;'Preços 2018 - Região S e SE'!#REF!&amp;'Preços 2018 - Região S e SE'!#REF!&amp;'Preços 2018 - Região S e SE'!#REF!</f>
        <v>#REF!</v>
      </c>
      <c r="Y69" s="25" t="e">
        <f t="shared" si="44"/>
        <v>#REF!</v>
      </c>
    </row>
    <row r="70" spans="1:25" x14ac:dyDescent="0.2">
      <c r="W70" s="25" t="str">
        <f t="shared" si="43"/>
        <v/>
      </c>
      <c r="X70" s="25"/>
      <c r="Y70" s="25"/>
    </row>
    <row r="71" spans="1:25" x14ac:dyDescent="0.2">
      <c r="A71" s="13"/>
      <c r="B71" s="85"/>
      <c r="C71" s="86" t="s">
        <v>333</v>
      </c>
      <c r="D71" s="93" t="s">
        <v>335</v>
      </c>
      <c r="E71" s="87"/>
      <c r="F71" s="87"/>
      <c r="G71" s="87"/>
      <c r="H71" s="13"/>
      <c r="I71" s="88"/>
      <c r="J71" s="88"/>
      <c r="K71" s="88"/>
      <c r="L71" s="88"/>
      <c r="M71" s="88"/>
      <c r="N71" s="88"/>
      <c r="O71" s="88"/>
      <c r="P71" s="88"/>
      <c r="Q71" s="88"/>
      <c r="R71"/>
      <c r="S71" s="88"/>
      <c r="T71" s="88"/>
      <c r="U71" s="88"/>
      <c r="V71" s="88"/>
      <c r="W71" s="88"/>
      <c r="X71" s="88"/>
      <c r="Y71" s="88"/>
    </row>
    <row r="72" spans="1:25" x14ac:dyDescent="0.2">
      <c r="B72" s="34">
        <v>20818</v>
      </c>
      <c r="C72" s="32" t="s">
        <v>14</v>
      </c>
      <c r="D72" s="35">
        <f>F72/(1-$G$4)</f>
        <v>243.65482233502539</v>
      </c>
      <c r="E72" s="35">
        <f>D72*$G$4</f>
        <v>3.6548223350253806</v>
      </c>
      <c r="F72" s="35">
        <f>'[30]Preços 2017 - Região N, NE e CO'!$F$8</f>
        <v>240</v>
      </c>
      <c r="G72" s="82">
        <f>'[30]Preços 2017 - Região N, NE e CO'!$G$8</f>
        <v>18</v>
      </c>
      <c r="H72" s="23"/>
      <c r="I72" s="43">
        <f>K72/(1-$M$4)</f>
        <v>259.89847715736039</v>
      </c>
      <c r="J72" s="43">
        <f>I72*$M$4</f>
        <v>3.8984771573604058</v>
      </c>
      <c r="K72" s="43">
        <f>IFERROR(ROUNDUP(K10*0.8,0),0)</f>
        <v>256</v>
      </c>
      <c r="L72" s="49">
        <f>G72</f>
        <v>18</v>
      </c>
      <c r="N72" s="92">
        <f t="shared" ref="N72" si="55">I72-J72-K72</f>
        <v>0</v>
      </c>
      <c r="O72" s="57">
        <f t="shared" ref="O72" si="56">J72/I72</f>
        <v>1.4999999999999999E-2</v>
      </c>
      <c r="P72" s="57">
        <f t="shared" ref="P72" si="57">I72/D72-1</f>
        <v>6.6666666666666652E-2</v>
      </c>
      <c r="Q72" s="57">
        <f t="shared" ref="Q72" si="58">K72/F72-1</f>
        <v>6.6666666666666652E-2</v>
      </c>
      <c r="S72" s="25" t="str">
        <f>B72&amp;C72&amp;D72&amp;E72&amp;F72&amp;G72</f>
        <v>20818Aconselhamento Pastoral243,6548223350253,6548223350253824018</v>
      </c>
      <c r="T72" s="25" t="str">
        <f>'[30]Preços 2017 - Região N, NE e CO'!$B$8&amp;'[30]Preços 2017 - Região N, NE e CO'!$C$8&amp;'[30]Preços 2017 - Região N, NE e CO'!$D$8&amp;'[30]Preços 2017 - Região N, NE e CO'!$E$8&amp;'[30]Preços 2017 - Região N, NE e CO'!$F$8&amp;'[30]Preços 2017 - Região N, NE e CO'!$G$8</f>
        <v>20818Aconselhamento Pastoral243,6548223350253,6548223350253824018</v>
      </c>
      <c r="U72" s="25" t="b">
        <f>S72=T72</f>
        <v>1</v>
      </c>
      <c r="W72" s="25" t="str">
        <f t="shared" ref="W72" si="59">B72&amp;C72&amp;I72&amp;J72&amp;K72&amp;L72</f>
        <v>20818Aconselhamento Pastoral259,898477157363,8984771573604125618</v>
      </c>
      <c r="X72" s="25" t="str">
        <f>'Preços 2018 - Região N, NE e CO'!B8&amp;'Preços 2018 - Região N, NE e CO'!C8&amp;'Preços 2018 - Região N, NE e CO'!D8&amp;'Preços 2018 - Região N, NE e CO'!E8&amp;'Preços 2018 - Região N, NE e CO'!F8&amp;'Preços 2018 - Região N, NE e CO'!G8</f>
        <v>20818Aconselhamento Pastoral294,4162436548224,4162436548223329018</v>
      </c>
      <c r="Y72" s="25" t="b">
        <f t="shared" ref="Y72" si="60">W72=X72</f>
        <v>0</v>
      </c>
    </row>
    <row r="73" spans="1:25" x14ac:dyDescent="0.2">
      <c r="B73" s="34">
        <v>20821</v>
      </c>
      <c r="C73" s="32" t="s">
        <v>45</v>
      </c>
      <c r="D73" s="35">
        <f t="shared" ref="D73:D99" si="61">F73/(1-$G$4)</f>
        <v>220.30456852791878</v>
      </c>
      <c r="E73" s="35">
        <f t="shared" ref="E73:E99" si="62">D73*$G$4</f>
        <v>3.3045685279187813</v>
      </c>
      <c r="F73" s="35">
        <f>'[30]Preços 2017 - Região N, NE e CO'!$F$9</f>
        <v>217</v>
      </c>
      <c r="G73" s="82">
        <f>'[30]Preços 2017 - Região N, NE e CO'!$G$9</f>
        <v>18</v>
      </c>
      <c r="H73" s="30"/>
      <c r="I73" s="43">
        <f t="shared" ref="I73:I100" si="63">K73/(1-$M$4)</f>
        <v>235.53299492385787</v>
      </c>
      <c r="J73" s="43">
        <f t="shared" ref="J73:J100" si="64">I73*$M$4</f>
        <v>3.532994923857868</v>
      </c>
      <c r="K73" s="43">
        <f t="shared" ref="K73:K100" si="65">IFERROR(ROUNDUP(K11*0.8,0),0)</f>
        <v>232</v>
      </c>
      <c r="L73" s="49">
        <f t="shared" ref="L73:L100" si="66">G73</f>
        <v>18</v>
      </c>
      <c r="N73" s="92">
        <f t="shared" ref="N73:N100" si="67">I73-J73-K73</f>
        <v>0</v>
      </c>
      <c r="O73" s="57">
        <f t="shared" ref="O73:O100" si="68">J73/I73</f>
        <v>1.4999999999999999E-2</v>
      </c>
      <c r="P73" s="57">
        <f t="shared" ref="P73:P100" si="69">I73/D73-1</f>
        <v>6.9124423963133674E-2</v>
      </c>
      <c r="Q73" s="57">
        <f t="shared" ref="Q73:Q100" si="70">K73/F73-1</f>
        <v>6.9124423963133674E-2</v>
      </c>
      <c r="S73" s="25" t="str">
        <f t="shared" ref="S73:S100" si="71">B73&amp;C73&amp;D73&amp;E73&amp;F73&amp;G73</f>
        <v>20821Administração da Produção e Operações220,3045685279193,3045685279187821718</v>
      </c>
      <c r="T73" s="25" t="str">
        <f>'[30]Preços 2017 - Região N, NE e CO'!$B$9&amp;'[30]Preços 2017 - Região N, NE e CO'!$C$9&amp;'[30]Preços 2017 - Região N, NE e CO'!$D$9&amp;'[30]Preços 2017 - Região N, NE e CO'!$E$9&amp;'[30]Preços 2017 - Região N, NE e CO'!$F$9&amp;'[30]Preços 2017 - Região N, NE e CO'!$G$9</f>
        <v>20821Administração da Produção e Operações220,3045685279193,3045685279187821718</v>
      </c>
      <c r="U73" s="25" t="b">
        <f t="shared" ref="U73:U100" si="72">S73=T73</f>
        <v>1</v>
      </c>
      <c r="W73" s="25" t="str">
        <f t="shared" ref="W73:W100" si="73">B73&amp;C73&amp;I73&amp;J73&amp;K73&amp;L73</f>
        <v>20821Administração da Produção e Operações235,5329949238583,5329949238578723218</v>
      </c>
      <c r="X73" s="25" t="str">
        <f>'Preços 2018 - Região N, NE e CO'!B9&amp;'Preços 2018 - Região N, NE e CO'!C9&amp;'Preços 2018 - Região N, NE e CO'!D9&amp;'Preços 2018 - Região N, NE e CO'!E9&amp;'Preços 2018 - Região N, NE e CO'!F9&amp;'Preços 2018 - Região N, NE e CO'!G9</f>
        <v>20821Administração da Produção e Operações294,4162436548224,4162436548223329018</v>
      </c>
      <c r="Y73" s="25" t="b">
        <f t="shared" ref="Y73:Y100" si="74">W73=X73</f>
        <v>0</v>
      </c>
    </row>
    <row r="74" spans="1:25" x14ac:dyDescent="0.2">
      <c r="B74" s="34">
        <v>20575</v>
      </c>
      <c r="C74" s="32" t="s">
        <v>30</v>
      </c>
      <c r="D74" s="35">
        <f t="shared" si="61"/>
        <v>235.53299492385787</v>
      </c>
      <c r="E74" s="35">
        <f t="shared" si="62"/>
        <v>3.532994923857868</v>
      </c>
      <c r="F74" s="35">
        <f>'[30]Preços 2017 - Região N, NE e CO'!$F$10</f>
        <v>232</v>
      </c>
      <c r="G74" s="82">
        <f>'[30]Preços 2017 - Região N, NE e CO'!$G$10</f>
        <v>18</v>
      </c>
      <c r="H74" s="30"/>
      <c r="I74" s="43">
        <f t="shared" si="63"/>
        <v>250.76142131979697</v>
      </c>
      <c r="J74" s="43">
        <f t="shared" si="64"/>
        <v>3.7614213197969542</v>
      </c>
      <c r="K74" s="43">
        <f t="shared" si="65"/>
        <v>247</v>
      </c>
      <c r="L74" s="49">
        <f t="shared" si="66"/>
        <v>18</v>
      </c>
      <c r="N74" s="92">
        <f t="shared" si="67"/>
        <v>0</v>
      </c>
      <c r="O74" s="57">
        <f t="shared" si="68"/>
        <v>1.4999999999999999E-2</v>
      </c>
      <c r="P74" s="57">
        <f t="shared" si="69"/>
        <v>6.4655172413793149E-2</v>
      </c>
      <c r="Q74" s="57">
        <f t="shared" si="70"/>
        <v>6.4655172413793149E-2</v>
      </c>
      <c r="S74" s="25" t="str">
        <f t="shared" si="71"/>
        <v>20575Comunicação Empresarial235,5329949238583,5329949238578723218</v>
      </c>
      <c r="T74" s="25" t="str">
        <f>'[30]Preços 2017 - Região N, NE e CO'!$B$10&amp;'[30]Preços 2017 - Região N, NE e CO'!$C$10&amp;'[30]Preços 2017 - Região N, NE e CO'!$D$10&amp;'[30]Preços 2017 - Região N, NE e CO'!$E$10&amp;'[30]Preços 2017 - Região N, NE e CO'!$F$10&amp;'[30]Preços 2017 - Região N, NE e CO'!$G$10</f>
        <v>20575Comunicação Empresarial235,5329949238583,5329949238578723218</v>
      </c>
      <c r="U74" s="25" t="b">
        <f t="shared" si="72"/>
        <v>1</v>
      </c>
      <c r="W74" s="25" t="str">
        <f t="shared" si="73"/>
        <v>20575Comunicação Empresarial250,7614213197973,7614213197969524718</v>
      </c>
      <c r="X74" s="25" t="str">
        <f>'Preços 2018 - Região N, NE e CO'!B10&amp;'Preços 2018 - Região N, NE e CO'!C10&amp;'Preços 2018 - Região N, NE e CO'!D10&amp;'Preços 2018 - Região N, NE e CO'!E10&amp;'Preços 2018 - Região N, NE e CO'!F10&amp;'Preços 2018 - Região N, NE e CO'!G10</f>
        <v>20575Comunicação Empresarial294,4162436548224,4162436548223329018</v>
      </c>
      <c r="Y74" s="25" t="b">
        <f t="shared" si="74"/>
        <v>0</v>
      </c>
    </row>
    <row r="75" spans="1:25" x14ac:dyDescent="0.2">
      <c r="B75" s="34">
        <v>20019</v>
      </c>
      <c r="C75" s="32" t="s">
        <v>12</v>
      </c>
      <c r="D75" s="35">
        <f t="shared" si="61"/>
        <v>240.60913705583758</v>
      </c>
      <c r="E75" s="35">
        <f t="shared" si="62"/>
        <v>3.6091370558375635</v>
      </c>
      <c r="F75" s="35">
        <f>'[30]Preços 2017 - Região N, NE e CO'!$F$11</f>
        <v>237</v>
      </c>
      <c r="G75" s="82">
        <f>'[30]Preços 2017 - Região N, NE e CO'!$G$11</f>
        <v>18</v>
      </c>
      <c r="H75" s="30"/>
      <c r="I75" s="43">
        <f t="shared" si="63"/>
        <v>256.85279187817258</v>
      </c>
      <c r="J75" s="43">
        <f t="shared" si="64"/>
        <v>3.8527918781725887</v>
      </c>
      <c r="K75" s="43">
        <f t="shared" si="65"/>
        <v>253</v>
      </c>
      <c r="L75" s="49">
        <f t="shared" si="66"/>
        <v>18</v>
      </c>
      <c r="N75" s="92">
        <f t="shared" si="67"/>
        <v>0</v>
      </c>
      <c r="O75" s="57">
        <f t="shared" si="68"/>
        <v>1.4999999999999999E-2</v>
      </c>
      <c r="P75" s="57">
        <f t="shared" si="69"/>
        <v>6.7510548523206593E-2</v>
      </c>
      <c r="Q75" s="57">
        <f t="shared" si="70"/>
        <v>6.7510548523206815E-2</v>
      </c>
      <c r="S75" s="25" t="str">
        <f t="shared" si="71"/>
        <v>20019Controladoria e Finanças240,6091370558383,6091370558375623718</v>
      </c>
      <c r="T75" s="25" t="str">
        <f>'[30]Preços 2017 - Região N, NE e CO'!$B$11&amp;'[30]Preços 2017 - Região N, NE e CO'!$C$11&amp;'[30]Preços 2017 - Região N, NE e CO'!$D$11&amp;'[30]Preços 2017 - Região N, NE e CO'!$E$11&amp;'[30]Preços 2017 - Região N, NE e CO'!$F$11&amp;'[30]Preços 2017 - Região N, NE e CO'!$G$11</f>
        <v>20019Controladoria e Finanças240,6091370558383,6091370558375623718</v>
      </c>
      <c r="U75" s="25" t="b">
        <f t="shared" si="72"/>
        <v>1</v>
      </c>
      <c r="W75" s="25" t="str">
        <f t="shared" si="73"/>
        <v>20019Controladoria e Finanças256,8527918781733,8527918781725925318</v>
      </c>
      <c r="X75" s="25" t="str">
        <f>'Preços 2018 - Região N, NE e CO'!B11&amp;'Preços 2018 - Região N, NE e CO'!C11&amp;'Preços 2018 - Região N, NE e CO'!D11&amp;'Preços 2018 - Região N, NE e CO'!E11&amp;'Preços 2018 - Região N, NE e CO'!F11&amp;'Preços 2018 - Região N, NE e CO'!G11</f>
        <v>20019Controladoria e Finanças294,4162436548224,4162436548223329018</v>
      </c>
      <c r="Y75" s="25" t="b">
        <f t="shared" si="74"/>
        <v>0</v>
      </c>
    </row>
    <row r="76" spans="1:25" x14ac:dyDescent="0.2">
      <c r="B76" s="54">
        <v>20822</v>
      </c>
      <c r="C76" s="32" t="s">
        <v>21</v>
      </c>
      <c r="D76" s="35">
        <f t="shared" si="61"/>
        <v>223.35025380710661</v>
      </c>
      <c r="E76" s="35">
        <f t="shared" si="62"/>
        <v>3.3502538071065993</v>
      </c>
      <c r="F76" s="35">
        <f>'[30]Preços 2017 - Região N, NE e CO'!$F$12</f>
        <v>220</v>
      </c>
      <c r="G76" s="82">
        <f>'[30]Preços 2017 - Região N, NE e CO'!$G$12</f>
        <v>18</v>
      </c>
      <c r="H76" s="30"/>
      <c r="I76" s="43">
        <f t="shared" si="63"/>
        <v>238.57868020304568</v>
      </c>
      <c r="J76" s="43">
        <f t="shared" si="64"/>
        <v>3.578680203045685</v>
      </c>
      <c r="K76" s="43">
        <f t="shared" si="65"/>
        <v>235</v>
      </c>
      <c r="L76" s="49">
        <f t="shared" si="66"/>
        <v>18</v>
      </c>
      <c r="N76" s="92">
        <f t="shared" si="67"/>
        <v>0</v>
      </c>
      <c r="O76" s="57">
        <f t="shared" si="68"/>
        <v>1.4999999999999999E-2</v>
      </c>
      <c r="P76" s="57">
        <f t="shared" si="69"/>
        <v>6.8181818181818121E-2</v>
      </c>
      <c r="Q76" s="57">
        <f t="shared" si="70"/>
        <v>6.8181818181818121E-2</v>
      </c>
      <c r="S76" s="25" t="str">
        <f t="shared" si="71"/>
        <v>20822Direito Educacional 223,3502538071073,350253807106622018</v>
      </c>
      <c r="T76" s="25" t="str">
        <f>'[30]Preços 2017 - Região N, NE e CO'!$B$12&amp;'[30]Preços 2017 - Região N, NE e CO'!$C$12&amp;'[30]Preços 2017 - Região N, NE e CO'!$D$12&amp;'[30]Preços 2017 - Região N, NE e CO'!$E$12&amp;'[30]Preços 2017 - Região N, NE e CO'!$F$12&amp;'[30]Preços 2017 - Região N, NE e CO'!$G$12</f>
        <v>20822Direito Educacional 223,3502538071073,350253807106622018</v>
      </c>
      <c r="U76" s="25" t="b">
        <f t="shared" si="72"/>
        <v>1</v>
      </c>
      <c r="W76" s="25" t="str">
        <f t="shared" si="73"/>
        <v>20822Direito Educacional 238,5786802030463,5786802030456923518</v>
      </c>
      <c r="X76" s="25" t="str">
        <f>'Preços 2018 - Região N, NE e CO'!B12&amp;'Preços 2018 - Região N, NE e CO'!C12&amp;'Preços 2018 - Região N, NE e CO'!D12&amp;'Preços 2018 - Região N, NE e CO'!E12&amp;'Preços 2018 - Região N, NE e CO'!F12&amp;'Preços 2018 - Região N, NE e CO'!G12</f>
        <v>20822Direito Educacional 294,4162436548224,4162436548223329018</v>
      </c>
      <c r="Y76" s="25" t="b">
        <f t="shared" si="74"/>
        <v>0</v>
      </c>
    </row>
    <row r="77" spans="1:25" x14ac:dyDescent="0.2">
      <c r="B77" s="34">
        <v>20823</v>
      </c>
      <c r="C77" s="32" t="s">
        <v>27</v>
      </c>
      <c r="D77" s="35">
        <f t="shared" si="61"/>
        <v>216.24365482233503</v>
      </c>
      <c r="E77" s="35">
        <f t="shared" si="62"/>
        <v>3.2436548223350252</v>
      </c>
      <c r="F77" s="35">
        <f>'[30]Preços 2017 - Região N, NE e CO'!$F$13</f>
        <v>213</v>
      </c>
      <c r="G77" s="82">
        <f>'[30]Preços 2017 - Região N, NE e CO'!$G$13</f>
        <v>18</v>
      </c>
      <c r="H77" s="30"/>
      <c r="I77" s="43">
        <f t="shared" si="63"/>
        <v>231.47208121827413</v>
      </c>
      <c r="J77" s="43">
        <f t="shared" si="64"/>
        <v>3.4720812182741119</v>
      </c>
      <c r="K77" s="43">
        <f t="shared" si="65"/>
        <v>228</v>
      </c>
      <c r="L77" s="49">
        <f t="shared" si="66"/>
        <v>18</v>
      </c>
      <c r="N77" s="92">
        <f t="shared" si="67"/>
        <v>0</v>
      </c>
      <c r="O77" s="57">
        <f t="shared" si="68"/>
        <v>1.4999999999999999E-2</v>
      </c>
      <c r="P77" s="57">
        <f t="shared" si="69"/>
        <v>7.0422535211267734E-2</v>
      </c>
      <c r="Q77" s="57">
        <f t="shared" si="70"/>
        <v>7.0422535211267512E-2</v>
      </c>
      <c r="S77" s="25" t="str">
        <f t="shared" si="71"/>
        <v>20823Direitos Difusos e Coletivos216,2436548223353,2436548223350321318</v>
      </c>
      <c r="T77" s="25" t="str">
        <f>'[30]Preços 2017 - Região N, NE e CO'!$B$13&amp;'[30]Preços 2017 - Região N, NE e CO'!$C$13&amp;'[30]Preços 2017 - Região N, NE e CO'!$D$13&amp;'[30]Preços 2017 - Região N, NE e CO'!$E$13&amp;'[30]Preços 2017 - Região N, NE e CO'!$F$13&amp;'[30]Preços 2017 - Região N, NE e CO'!$G$13</f>
        <v>20823Direitos Difusos e Coletivos216,2436548223353,2436548223350321318</v>
      </c>
      <c r="U77" s="25" t="b">
        <f t="shared" si="72"/>
        <v>1</v>
      </c>
      <c r="W77" s="25" t="str">
        <f t="shared" si="73"/>
        <v>20823Direitos Difusos e Coletivos231,4720812182743,4720812182741122818</v>
      </c>
      <c r="X77" s="25" t="str">
        <f>'Preços 2018 - Região N, NE e CO'!B13&amp;'Preços 2018 - Região N, NE e CO'!C13&amp;'Preços 2018 - Região N, NE e CO'!D13&amp;'Preços 2018 - Região N, NE e CO'!E13&amp;'Preços 2018 - Região N, NE e CO'!F13&amp;'Preços 2018 - Região N, NE e CO'!G13</f>
        <v>20823Direitos Difusos e Coletivos294,4162436548224,4162436548223329018</v>
      </c>
      <c r="Y77" s="25" t="b">
        <f t="shared" si="74"/>
        <v>0</v>
      </c>
    </row>
    <row r="78" spans="1:25" x14ac:dyDescent="0.2">
      <c r="B78" s="54">
        <v>20824</v>
      </c>
      <c r="C78" s="32" t="s">
        <v>20</v>
      </c>
      <c r="D78" s="35">
        <f t="shared" si="61"/>
        <v>220.30456852791878</v>
      </c>
      <c r="E78" s="35">
        <f t="shared" si="62"/>
        <v>3.3045685279187813</v>
      </c>
      <c r="F78" s="35">
        <f>'[30]Preços 2017 - Região N, NE e CO'!$F$14</f>
        <v>217</v>
      </c>
      <c r="G78" s="82">
        <f>'[30]Preços 2017 - Região N, NE e CO'!$G$14</f>
        <v>18</v>
      </c>
      <c r="H78" s="30"/>
      <c r="I78" s="43">
        <f t="shared" si="63"/>
        <v>235.53299492385787</v>
      </c>
      <c r="J78" s="43">
        <f t="shared" si="64"/>
        <v>3.532994923857868</v>
      </c>
      <c r="K78" s="43">
        <f t="shared" si="65"/>
        <v>232</v>
      </c>
      <c r="L78" s="49">
        <f t="shared" si="66"/>
        <v>18</v>
      </c>
      <c r="N78" s="92">
        <f t="shared" si="67"/>
        <v>0</v>
      </c>
      <c r="O78" s="57">
        <f t="shared" si="68"/>
        <v>1.4999999999999999E-2</v>
      </c>
      <c r="P78" s="57">
        <f t="shared" si="69"/>
        <v>6.9124423963133674E-2</v>
      </c>
      <c r="Q78" s="57">
        <f t="shared" si="70"/>
        <v>6.9124423963133674E-2</v>
      </c>
      <c r="S78" s="25" t="str">
        <f t="shared" si="71"/>
        <v>20824Engenharia do Produto Utilizando o Método dos Elementos Finitos 220,3045685279193,3045685279187821718</v>
      </c>
      <c r="T78" s="25" t="str">
        <f>'[30]Preços 2017 - Região N, NE e CO'!$B$14&amp;'[30]Preços 2017 - Região N, NE e CO'!$C$14&amp;'[30]Preços 2017 - Região N, NE e CO'!$D$14&amp;'[30]Preços 2017 - Região N, NE e CO'!$E$14&amp;'[30]Preços 2017 - Região N, NE e CO'!$F$14&amp;'[30]Preços 2017 - Região N, NE e CO'!$G$14</f>
        <v>20824Engenharia do Produto Utilizando o Método dos Elementos Finitos 220,3045685279193,3045685279187821718</v>
      </c>
      <c r="U78" s="25" t="b">
        <f t="shared" si="72"/>
        <v>1</v>
      </c>
      <c r="W78" s="25" t="str">
        <f t="shared" si="73"/>
        <v>20824Engenharia do Produto Utilizando o Método dos Elementos Finitos 235,5329949238583,5329949238578723218</v>
      </c>
      <c r="X78" s="25" t="str">
        <f>'Preços 2018 - Região N, NE e CO'!B14&amp;'Preços 2018 - Região N, NE e CO'!C14&amp;'Preços 2018 - Região N, NE e CO'!D14&amp;'Preços 2018 - Região N, NE e CO'!E14&amp;'Preços 2018 - Região N, NE e CO'!F14&amp;'Preços 2018 - Região N, NE e CO'!G14</f>
        <v>20824Engenharia do Produto Utilizando o Método dos Elementos Finitos 294,4162436548224,4162436548223329018</v>
      </c>
      <c r="Y78" s="25" t="b">
        <f t="shared" si="74"/>
        <v>0</v>
      </c>
    </row>
    <row r="79" spans="1:25" x14ac:dyDescent="0.2">
      <c r="B79" s="54">
        <v>20831</v>
      </c>
      <c r="C79" s="32" t="s">
        <v>42</v>
      </c>
      <c r="D79" s="35">
        <f t="shared" si="61"/>
        <v>241.62436548223351</v>
      </c>
      <c r="E79" s="35">
        <f t="shared" si="62"/>
        <v>3.6243654822335025</v>
      </c>
      <c r="F79" s="35">
        <f>'[30]Preços 2017 - Região N, NE e CO'!$F$15</f>
        <v>238</v>
      </c>
      <c r="G79" s="82">
        <f>'[30]Preços 2017 - Região N, NE e CO'!$G$15</f>
        <v>18</v>
      </c>
      <c r="H79" s="30"/>
      <c r="I79" s="43">
        <f t="shared" si="63"/>
        <v>257.86802030456852</v>
      </c>
      <c r="J79" s="43">
        <f t="shared" si="64"/>
        <v>3.8680203045685277</v>
      </c>
      <c r="K79" s="43">
        <f t="shared" si="65"/>
        <v>254</v>
      </c>
      <c r="L79" s="49">
        <f t="shared" si="66"/>
        <v>18</v>
      </c>
      <c r="N79" s="92">
        <f t="shared" si="67"/>
        <v>0</v>
      </c>
      <c r="O79" s="57">
        <f t="shared" si="68"/>
        <v>1.4999999999999999E-2</v>
      </c>
      <c r="P79" s="57">
        <f t="shared" si="69"/>
        <v>6.7226890756302504E-2</v>
      </c>
      <c r="Q79" s="57">
        <f t="shared" si="70"/>
        <v>6.7226890756302504E-2</v>
      </c>
      <c r="S79" s="25" t="str">
        <f t="shared" si="71"/>
        <v>20831Filosofia da Religião241,6243654822343,624365482233523818</v>
      </c>
      <c r="T79" s="25" t="str">
        <f>'[30]Preços 2017 - Região N, NE e CO'!$B$15&amp;'[30]Preços 2017 - Região N, NE e CO'!$C$15&amp;'[30]Preços 2017 - Região N, NE e CO'!$D$15&amp;'[30]Preços 2017 - Região N, NE e CO'!$E$15&amp;'[30]Preços 2017 - Região N, NE e CO'!$F$15&amp;'[30]Preços 2017 - Região N, NE e CO'!$G$15</f>
        <v>20831Filosofia da Religião241,6243654822343,624365482233523818</v>
      </c>
      <c r="U79" s="25" t="b">
        <f t="shared" si="72"/>
        <v>1</v>
      </c>
      <c r="W79" s="25" t="str">
        <f t="shared" si="73"/>
        <v>20831Filosofia da Religião257,8680203045693,8680203045685325418</v>
      </c>
      <c r="X79" s="25" t="str">
        <f>'Preços 2018 - Região N, NE e CO'!B15&amp;'Preços 2018 - Região N, NE e CO'!C15&amp;'Preços 2018 - Região N, NE e CO'!D15&amp;'Preços 2018 - Região N, NE e CO'!E15&amp;'Preços 2018 - Região N, NE e CO'!F15&amp;'Preços 2018 - Região N, NE e CO'!G15</f>
        <v>20831Filosofia da Religião294,4162436548224,4162436548223329018</v>
      </c>
      <c r="Y79" s="25" t="b">
        <f t="shared" si="74"/>
        <v>0</v>
      </c>
    </row>
    <row r="80" spans="1:25" x14ac:dyDescent="0.2">
      <c r="B80" s="54">
        <v>20825</v>
      </c>
      <c r="C80" s="32" t="s">
        <v>46</v>
      </c>
      <c r="D80" s="35">
        <f t="shared" si="61"/>
        <v>223.35025380710661</v>
      </c>
      <c r="E80" s="35">
        <f t="shared" si="62"/>
        <v>3.3502538071065993</v>
      </c>
      <c r="F80" s="35">
        <f>'[30]Preços 2017 - Região N, NE e CO'!$F$16</f>
        <v>220</v>
      </c>
      <c r="G80" s="82">
        <f>'[30]Preços 2017 - Região N, NE e CO'!$G$16</f>
        <v>18</v>
      </c>
      <c r="H80" s="30"/>
      <c r="I80" s="43">
        <f t="shared" si="63"/>
        <v>238.57868020304568</v>
      </c>
      <c r="J80" s="43">
        <f t="shared" si="64"/>
        <v>3.578680203045685</v>
      </c>
      <c r="K80" s="43">
        <f t="shared" si="65"/>
        <v>235</v>
      </c>
      <c r="L80" s="49">
        <f t="shared" si="66"/>
        <v>18</v>
      </c>
      <c r="N80" s="92">
        <f t="shared" si="67"/>
        <v>0</v>
      </c>
      <c r="O80" s="57">
        <f t="shared" si="68"/>
        <v>1.4999999999999999E-2</v>
      </c>
      <c r="P80" s="57">
        <f t="shared" si="69"/>
        <v>6.8181818181818121E-2</v>
      </c>
      <c r="Q80" s="57">
        <f t="shared" si="70"/>
        <v>6.8181818181818121E-2</v>
      </c>
      <c r="S80" s="25" t="str">
        <f t="shared" si="71"/>
        <v>20825Gestão de Mídias Digitais 223,3502538071073,350253807106622018</v>
      </c>
      <c r="T80" s="25" t="str">
        <f>'[30]Preços 2017 - Região N, NE e CO'!$B$16&amp;'[30]Preços 2017 - Região N, NE e CO'!$C$16&amp;'[30]Preços 2017 - Região N, NE e CO'!$D$16&amp;'[30]Preços 2017 - Região N, NE e CO'!$E$16&amp;'[30]Preços 2017 - Região N, NE e CO'!$F$16&amp;'[30]Preços 2017 - Região N, NE e CO'!$G$16</f>
        <v>20825Gestão de Mídias Digitais 223,3502538071073,350253807106622018</v>
      </c>
      <c r="U80" s="25" t="b">
        <f t="shared" si="72"/>
        <v>1</v>
      </c>
      <c r="W80" s="25" t="str">
        <f t="shared" si="73"/>
        <v>20825Gestão de Mídias Digitais 238,5786802030463,5786802030456923518</v>
      </c>
      <c r="X80" s="25" t="str">
        <f>'Preços 2018 - Região N, NE e CO'!B16&amp;'Preços 2018 - Região N, NE e CO'!C16&amp;'Preços 2018 - Região N, NE e CO'!D16&amp;'Preços 2018 - Região N, NE e CO'!E16&amp;'Preços 2018 - Região N, NE e CO'!F16&amp;'Preços 2018 - Região N, NE e CO'!G16</f>
        <v>20825Gestão de Mídias Digitais 294,4162436548224,4162436548223329018</v>
      </c>
      <c r="Y80" s="25" t="b">
        <f t="shared" si="74"/>
        <v>0</v>
      </c>
    </row>
    <row r="81" spans="2:25" x14ac:dyDescent="0.2">
      <c r="B81" s="34">
        <v>20018</v>
      </c>
      <c r="C81" s="32" t="s">
        <v>11</v>
      </c>
      <c r="D81" s="35">
        <f t="shared" si="61"/>
        <v>251.7766497461929</v>
      </c>
      <c r="E81" s="35">
        <f t="shared" si="62"/>
        <v>3.7766497461928932</v>
      </c>
      <c r="F81" s="35">
        <f>'[30]Preços 2017 - Região N, NE e CO'!$F$17</f>
        <v>248</v>
      </c>
      <c r="G81" s="82">
        <f>'[30]Preços 2017 - Região N, NE e CO'!$G$17</f>
        <v>18</v>
      </c>
      <c r="H81" s="30"/>
      <c r="I81" s="43">
        <f t="shared" si="63"/>
        <v>268.02030456852793</v>
      </c>
      <c r="J81" s="43">
        <f t="shared" si="64"/>
        <v>4.0203045685279193</v>
      </c>
      <c r="K81" s="43">
        <f t="shared" si="65"/>
        <v>264</v>
      </c>
      <c r="L81" s="49">
        <f t="shared" si="66"/>
        <v>18</v>
      </c>
      <c r="N81" s="92">
        <f t="shared" si="67"/>
        <v>0</v>
      </c>
      <c r="O81" s="57">
        <f t="shared" si="68"/>
        <v>1.5000000000000001E-2</v>
      </c>
      <c r="P81" s="57">
        <f t="shared" si="69"/>
        <v>6.4516129032258007E-2</v>
      </c>
      <c r="Q81" s="57">
        <f t="shared" si="70"/>
        <v>6.4516129032258007E-2</v>
      </c>
      <c r="S81" s="25" t="str">
        <f t="shared" si="71"/>
        <v>20018Gerenciamento de Projetos de TI com Práticas Alinhadas ao PMI®251,7766497461933,7766497461928924818</v>
      </c>
      <c r="T81" s="25" t="str">
        <f>'[30]Preços 2017 - Região N, NE e CO'!$B$17&amp;'[30]Preços 2017 - Região N, NE e CO'!$C$17&amp;'[30]Preços 2017 - Região N, NE e CO'!$D$17&amp;'[30]Preços 2017 - Região N, NE e CO'!$E$17&amp;'[30]Preços 2017 - Região N, NE e CO'!$F$17&amp;'[30]Preços 2017 - Região N, NE e CO'!$G$17</f>
        <v>20018Gerenciamento de Projetos de TI com Práticas Alinhadas ao PMI®251,7766497461933,7766497461928924818</v>
      </c>
      <c r="U81" s="25" t="b">
        <f t="shared" si="72"/>
        <v>1</v>
      </c>
      <c r="W81" s="25" t="str">
        <f t="shared" si="73"/>
        <v>20018Gerenciamento de Projetos de TI com Práticas Alinhadas ao PMI®268,0203045685284,0203045685279226418</v>
      </c>
      <c r="X81" s="25" t="str">
        <f>'Preços 2018 - Região N, NE e CO'!B17&amp;'Preços 2018 - Região N, NE e CO'!C17&amp;'Preços 2018 - Região N, NE e CO'!D17&amp;'Preços 2018 - Região N, NE e CO'!E17&amp;'Preços 2018 - Região N, NE e CO'!F17&amp;'Preços 2018 - Região N, NE e CO'!G17</f>
        <v>20018Gerenciamento de Projetos de TI com Práticas Alinhadas ao PMI®294,4162436548224,4162436548223329018</v>
      </c>
      <c r="Y81" s="25" t="b">
        <f t="shared" si="74"/>
        <v>0</v>
      </c>
    </row>
    <row r="82" spans="2:25" x14ac:dyDescent="0.2">
      <c r="B82" s="54">
        <v>20826</v>
      </c>
      <c r="C82" s="32" t="s">
        <v>22</v>
      </c>
      <c r="D82" s="35">
        <f t="shared" si="61"/>
        <v>220.30456852791878</v>
      </c>
      <c r="E82" s="35">
        <f t="shared" si="62"/>
        <v>3.3045685279187813</v>
      </c>
      <c r="F82" s="35">
        <f>'[30]Preços 2017 - Região N, NE e CO'!$F$18</f>
        <v>217</v>
      </c>
      <c r="G82" s="82">
        <f>'[30]Preços 2017 - Região N, NE e CO'!$G$18</f>
        <v>18</v>
      </c>
      <c r="H82" s="30"/>
      <c r="I82" s="43">
        <f t="shared" si="63"/>
        <v>235.53299492385787</v>
      </c>
      <c r="J82" s="43">
        <f t="shared" si="64"/>
        <v>3.532994923857868</v>
      </c>
      <c r="K82" s="43">
        <f t="shared" si="65"/>
        <v>232</v>
      </c>
      <c r="L82" s="49">
        <f t="shared" si="66"/>
        <v>18</v>
      </c>
      <c r="N82" s="92">
        <f t="shared" si="67"/>
        <v>0</v>
      </c>
      <c r="O82" s="57">
        <f t="shared" si="68"/>
        <v>1.4999999999999999E-2</v>
      </c>
      <c r="P82" s="57">
        <f t="shared" si="69"/>
        <v>6.9124423963133674E-2</v>
      </c>
      <c r="Q82" s="57">
        <f t="shared" si="70"/>
        <v>6.9124423963133674E-2</v>
      </c>
      <c r="S82" s="25" t="str">
        <f t="shared" si="71"/>
        <v>20826Gestão Ambiental220,3045685279193,3045685279187821718</v>
      </c>
      <c r="T82" s="25" t="str">
        <f>'[30]Preços 2017 - Região N, NE e CO'!$B$18&amp;'[30]Preços 2017 - Região N, NE e CO'!$C$18&amp;'[30]Preços 2017 - Região N, NE e CO'!$D$18&amp;'[30]Preços 2017 - Região N, NE e CO'!$E$18&amp;'[30]Preços 2017 - Região N, NE e CO'!$F$18&amp;'[30]Preços 2017 - Região N, NE e CO'!$G$18</f>
        <v>20826Gestão Ambiental220,3045685279193,3045685279187821718</v>
      </c>
      <c r="U82" s="25" t="b">
        <f t="shared" si="72"/>
        <v>1</v>
      </c>
      <c r="W82" s="25" t="str">
        <f t="shared" si="73"/>
        <v>20826Gestão Ambiental235,5329949238583,5329949238578723218</v>
      </c>
      <c r="X82" s="25" t="str">
        <f>'Preços 2018 - Região N, NE e CO'!B18&amp;'Preços 2018 - Região N, NE e CO'!C18&amp;'Preços 2018 - Região N, NE e CO'!D18&amp;'Preços 2018 - Região N, NE e CO'!E18&amp;'Preços 2018 - Região N, NE e CO'!F18&amp;'Preços 2018 - Região N, NE e CO'!G18</f>
        <v>20826Gestão Ambiental294,4162436548224,4162436548223329018</v>
      </c>
      <c r="Y82" s="25" t="b">
        <f t="shared" si="74"/>
        <v>0</v>
      </c>
    </row>
    <row r="83" spans="2:25" x14ac:dyDescent="0.2">
      <c r="B83" s="54">
        <v>20827</v>
      </c>
      <c r="C83" s="32" t="s">
        <v>24</v>
      </c>
      <c r="D83" s="35">
        <f t="shared" si="61"/>
        <v>284.26395939086296</v>
      </c>
      <c r="E83" s="35">
        <f t="shared" si="62"/>
        <v>4.2639593908629445</v>
      </c>
      <c r="F83" s="35">
        <f>'[30]Preços 2017 - Região N, NE e CO'!$F$19</f>
        <v>280</v>
      </c>
      <c r="G83" s="82">
        <f>'[30]Preços 2017 - Região N, NE e CO'!$G$19</f>
        <v>18</v>
      </c>
      <c r="H83" s="30"/>
      <c r="I83" s="43">
        <f t="shared" si="63"/>
        <v>303.5532994923858</v>
      </c>
      <c r="J83" s="43">
        <f t="shared" si="64"/>
        <v>4.5532994923857872</v>
      </c>
      <c r="K83" s="43">
        <f t="shared" si="65"/>
        <v>299</v>
      </c>
      <c r="L83" s="49">
        <f t="shared" si="66"/>
        <v>18</v>
      </c>
      <c r="N83" s="92">
        <f t="shared" si="67"/>
        <v>0</v>
      </c>
      <c r="O83" s="57">
        <f t="shared" si="68"/>
        <v>1.5000000000000001E-2</v>
      </c>
      <c r="P83" s="57">
        <f t="shared" si="69"/>
        <v>6.7857142857142838E-2</v>
      </c>
      <c r="Q83" s="57">
        <f t="shared" si="70"/>
        <v>6.7857142857142838E-2</v>
      </c>
      <c r="S83" s="25" t="str">
        <f t="shared" si="71"/>
        <v>20827Gestão da Cadeia Produtiva Aeroespacial284,2639593908634,2639593908629428018</v>
      </c>
      <c r="T83" s="25" t="str">
        <f>'[30]Preços 2017 - Região N, NE e CO'!$B$19&amp;'[30]Preços 2017 - Região N, NE e CO'!$C$19&amp;'[30]Preços 2017 - Região N, NE e CO'!$D$19&amp;'[30]Preços 2017 - Região N, NE e CO'!$E$19&amp;'[30]Preços 2017 - Região N, NE e CO'!$F$19&amp;'[30]Preços 2017 - Região N, NE e CO'!$G$19</f>
        <v>20827Gestão da Cadeia Produtiva Aeroespacial284,2639593908634,2639593908629428018</v>
      </c>
      <c r="U83" s="25" t="b">
        <f t="shared" si="72"/>
        <v>1</v>
      </c>
      <c r="W83" s="25" t="str">
        <f t="shared" si="73"/>
        <v>20827Gestão da Cadeia Produtiva Aeroespacial303,5532994923864,5532994923857929918</v>
      </c>
      <c r="X83" s="25" t="str">
        <f>'Preços 2018 - Região N, NE e CO'!B19&amp;'Preços 2018 - Região N, NE e CO'!C19&amp;'Preços 2018 - Região N, NE e CO'!D19&amp;'Preços 2018 - Região N, NE e CO'!E19&amp;'Preços 2018 - Região N, NE e CO'!F19&amp;'Preços 2018 - Região N, NE e CO'!G19</f>
        <v>20827Gestão da Cadeia Produtiva Aeroespacial294,4162436548224,4162436548223329018</v>
      </c>
      <c r="Y83" s="25" t="b">
        <f t="shared" si="74"/>
        <v>0</v>
      </c>
    </row>
    <row r="84" spans="2:25" x14ac:dyDescent="0.2">
      <c r="B84" s="34">
        <v>20010</v>
      </c>
      <c r="C84" s="32" t="s">
        <v>8</v>
      </c>
      <c r="D84" s="35">
        <f t="shared" si="61"/>
        <v>227.41116751269035</v>
      </c>
      <c r="E84" s="35">
        <f t="shared" si="62"/>
        <v>3.4111675126903553</v>
      </c>
      <c r="F84" s="35">
        <f>'[30]Preços 2017 - Região N, NE e CO'!$F$20</f>
        <v>224</v>
      </c>
      <c r="G84" s="82">
        <f>'[30]Preços 2017 - Região N, NE e CO'!$G$20</f>
        <v>18</v>
      </c>
      <c r="H84" s="30"/>
      <c r="I84" s="43">
        <f t="shared" si="63"/>
        <v>243.65482233502539</v>
      </c>
      <c r="J84" s="43">
        <f t="shared" si="64"/>
        <v>3.6548223350253806</v>
      </c>
      <c r="K84" s="43">
        <f t="shared" si="65"/>
        <v>240</v>
      </c>
      <c r="L84" s="49">
        <f t="shared" si="66"/>
        <v>18</v>
      </c>
      <c r="N84" s="92">
        <f t="shared" si="67"/>
        <v>0</v>
      </c>
      <c r="O84" s="57">
        <f t="shared" si="68"/>
        <v>1.4999999999999999E-2</v>
      </c>
      <c r="P84" s="57">
        <f t="shared" si="69"/>
        <v>7.1428571428571397E-2</v>
      </c>
      <c r="Q84" s="57">
        <f t="shared" si="70"/>
        <v>7.1428571428571397E-2</v>
      </c>
      <c r="S84" s="25" t="str">
        <f t="shared" si="71"/>
        <v>20010Gestão da Qualidade 227,411167512693,4111675126903622418</v>
      </c>
      <c r="T84" s="25" t="str">
        <f>'[30]Preços 2017 - Região N, NE e CO'!$B$20&amp;'[30]Preços 2017 - Região N, NE e CO'!$C$20&amp;'[30]Preços 2017 - Região N, NE e CO'!$D$20&amp;'[30]Preços 2017 - Região N, NE e CO'!$E$20&amp;'[30]Preços 2017 - Região N, NE e CO'!$F$20&amp;'[30]Preços 2017 - Região N, NE e CO'!$G$20</f>
        <v>20010Gestão da Qualidade 227,411167512693,4111675126903622418</v>
      </c>
      <c r="U84" s="25" t="b">
        <f t="shared" si="72"/>
        <v>1</v>
      </c>
      <c r="W84" s="25" t="str">
        <f t="shared" si="73"/>
        <v>20010Gestão da Qualidade 243,6548223350253,6548223350253824018</v>
      </c>
      <c r="X84" s="25" t="str">
        <f>'Preços 2018 - Região N, NE e CO'!B20&amp;'Preços 2018 - Região N, NE e CO'!C20&amp;'Preços 2018 - Região N, NE e CO'!D20&amp;'Preços 2018 - Região N, NE e CO'!E20&amp;'Preços 2018 - Região N, NE e CO'!F20&amp;'Preços 2018 - Região N, NE e CO'!G20</f>
        <v>20010Gestão da Qualidade 294,4162436548224,4162436548223329018</v>
      </c>
      <c r="Y84" s="25" t="b">
        <f t="shared" si="74"/>
        <v>0</v>
      </c>
    </row>
    <row r="85" spans="2:25" x14ac:dyDescent="0.2">
      <c r="B85" s="54">
        <v>20828</v>
      </c>
      <c r="C85" s="32" t="s">
        <v>25</v>
      </c>
      <c r="D85" s="35">
        <f t="shared" si="61"/>
        <v>220.30456852791878</v>
      </c>
      <c r="E85" s="35">
        <f t="shared" si="62"/>
        <v>3.3045685279187813</v>
      </c>
      <c r="F85" s="35">
        <f>'[30]Preços 2017 - Região N, NE e CO'!$F$21</f>
        <v>217</v>
      </c>
      <c r="G85" s="82">
        <f>'[30]Preços 2017 - Região N, NE e CO'!$G$21</f>
        <v>18</v>
      </c>
      <c r="H85" s="30"/>
      <c r="I85" s="43">
        <f t="shared" si="63"/>
        <v>235.53299492385787</v>
      </c>
      <c r="J85" s="43">
        <f t="shared" si="64"/>
        <v>3.532994923857868</v>
      </c>
      <c r="K85" s="43">
        <f t="shared" si="65"/>
        <v>232</v>
      </c>
      <c r="L85" s="49">
        <f t="shared" si="66"/>
        <v>18</v>
      </c>
      <c r="N85" s="92">
        <f t="shared" si="67"/>
        <v>0</v>
      </c>
      <c r="O85" s="57">
        <f t="shared" si="68"/>
        <v>1.4999999999999999E-2</v>
      </c>
      <c r="P85" s="57">
        <f t="shared" si="69"/>
        <v>6.9124423963133674E-2</v>
      </c>
      <c r="Q85" s="57">
        <f t="shared" si="70"/>
        <v>6.9124423963133674E-2</v>
      </c>
      <c r="S85" s="25" t="str">
        <f t="shared" si="71"/>
        <v>20828Gestão de Cidades220,3045685279193,3045685279187821718</v>
      </c>
      <c r="T85" s="25" t="str">
        <f>'[30]Preços 2017 - Região N, NE e CO'!$B$21&amp;'[30]Preços 2017 - Região N, NE e CO'!$C$21&amp;'[30]Preços 2017 - Região N, NE e CO'!$D$21&amp;'[30]Preços 2017 - Região N, NE e CO'!$E$21&amp;'[30]Preços 2017 - Região N, NE e CO'!$F$21&amp;'[30]Preços 2017 - Região N, NE e CO'!$G$21</f>
        <v>20828Gestão de Cidades220,3045685279193,3045685279187821718</v>
      </c>
      <c r="U85" s="25" t="b">
        <f t="shared" si="72"/>
        <v>1</v>
      </c>
      <c r="W85" s="25" t="str">
        <f t="shared" si="73"/>
        <v>20828Gestão de Cidades235,5329949238583,5329949238578723218</v>
      </c>
      <c r="X85" s="25" t="str">
        <f>'Preços 2018 - Região N, NE e CO'!B21&amp;'Preços 2018 - Região N, NE e CO'!C21&amp;'Preços 2018 - Região N, NE e CO'!D21&amp;'Preços 2018 - Região N, NE e CO'!E21&amp;'Preços 2018 - Região N, NE e CO'!F21&amp;'Preços 2018 - Região N, NE e CO'!G21</f>
        <v>20828Gestão de Cidades294,4162436548224,4162436548223329018</v>
      </c>
      <c r="Y85" s="25" t="b">
        <f t="shared" si="74"/>
        <v>0</v>
      </c>
    </row>
    <row r="86" spans="2:25" x14ac:dyDescent="0.2">
      <c r="B86" s="34">
        <v>20015</v>
      </c>
      <c r="C86" s="32" t="s">
        <v>47</v>
      </c>
      <c r="D86" s="35">
        <f t="shared" si="61"/>
        <v>238.57868020304568</v>
      </c>
      <c r="E86" s="35">
        <f t="shared" si="62"/>
        <v>3.578680203045685</v>
      </c>
      <c r="F86" s="35">
        <f>'[30]Preços 2017 - Região N, NE e CO'!$F$22</f>
        <v>235</v>
      </c>
      <c r="G86" s="82">
        <f>'[30]Preços 2017 - Região N, NE e CO'!$G$22</f>
        <v>18</v>
      </c>
      <c r="H86" s="30"/>
      <c r="I86" s="43">
        <f t="shared" si="63"/>
        <v>254.82233502538071</v>
      </c>
      <c r="J86" s="43">
        <f t="shared" si="64"/>
        <v>3.8223350253807107</v>
      </c>
      <c r="K86" s="43">
        <f t="shared" si="65"/>
        <v>251</v>
      </c>
      <c r="L86" s="49">
        <f t="shared" si="66"/>
        <v>18</v>
      </c>
      <c r="N86" s="92">
        <f t="shared" si="67"/>
        <v>0</v>
      </c>
      <c r="O86" s="57">
        <f t="shared" si="68"/>
        <v>1.4999999999999999E-2</v>
      </c>
      <c r="P86" s="57">
        <f t="shared" si="69"/>
        <v>6.8085106382978822E-2</v>
      </c>
      <c r="Q86" s="57">
        <f t="shared" si="70"/>
        <v>6.8085106382978822E-2</v>
      </c>
      <c r="S86" s="25" t="str">
        <f t="shared" si="71"/>
        <v>20015Gestão de Conteúdo em Comunicação - Jornalismo238,5786802030463,5786802030456923518</v>
      </c>
      <c r="T86" s="25" t="str">
        <f>'[30]Preços 2017 - Região N, NE e CO'!$B$22&amp;'[30]Preços 2017 - Região N, NE e CO'!$C$22&amp;'[30]Preços 2017 - Região N, NE e CO'!$D$22&amp;'[30]Preços 2017 - Região N, NE e CO'!$E$22&amp;'[30]Preços 2017 - Região N, NE e CO'!$F$22&amp;'[30]Preços 2017 - Região N, NE e CO'!$G$22</f>
        <v>20015Gestão de Conteúdo em Comunicação - Jornalismo238,5786802030463,5786802030456923518</v>
      </c>
      <c r="U86" s="25" t="b">
        <f t="shared" si="72"/>
        <v>1</v>
      </c>
      <c r="W86" s="25" t="str">
        <f t="shared" si="73"/>
        <v>20015Gestão de Conteúdo em Comunicação - Jornalismo254,8223350253813,8223350253807125118</v>
      </c>
      <c r="X86" s="25" t="str">
        <f>'Preços 2018 - Região N, NE e CO'!B22&amp;'Preços 2018 - Região N, NE e CO'!C22&amp;'Preços 2018 - Região N, NE e CO'!D22&amp;'Preços 2018 - Região N, NE e CO'!E22&amp;'Preços 2018 - Região N, NE e CO'!F22&amp;'Preços 2018 - Região N, NE e CO'!G22</f>
        <v>20015Gestão de Conteúdo em Comunicação - Jornalismo294,4162436548224,4162436548223329018</v>
      </c>
      <c r="Y86" s="25" t="b">
        <f t="shared" si="74"/>
        <v>0</v>
      </c>
    </row>
    <row r="87" spans="2:25" x14ac:dyDescent="0.2">
      <c r="B87" s="34">
        <v>20027</v>
      </c>
      <c r="C87" s="32" t="s">
        <v>16</v>
      </c>
      <c r="D87" s="35">
        <f t="shared" si="61"/>
        <v>251.7766497461929</v>
      </c>
      <c r="E87" s="35">
        <f t="shared" si="62"/>
        <v>3.7766497461928932</v>
      </c>
      <c r="F87" s="35">
        <f>'[30]Preços 2017 - Região N, NE e CO'!$F$23</f>
        <v>248</v>
      </c>
      <c r="G87" s="82">
        <f>'[30]Preços 2017 - Região N, NE e CO'!$G$23</f>
        <v>18</v>
      </c>
      <c r="H87" s="23"/>
      <c r="I87" s="43">
        <f t="shared" si="63"/>
        <v>268.02030456852793</v>
      </c>
      <c r="J87" s="43">
        <f t="shared" si="64"/>
        <v>4.0203045685279193</v>
      </c>
      <c r="K87" s="43">
        <f t="shared" si="65"/>
        <v>264</v>
      </c>
      <c r="L87" s="49">
        <f t="shared" si="66"/>
        <v>18</v>
      </c>
      <c r="N87" s="92">
        <f t="shared" si="67"/>
        <v>0</v>
      </c>
      <c r="O87" s="57">
        <f t="shared" si="68"/>
        <v>1.5000000000000001E-2</v>
      </c>
      <c r="P87" s="57">
        <f t="shared" si="69"/>
        <v>6.4516129032258007E-2</v>
      </c>
      <c r="Q87" s="57">
        <f t="shared" si="70"/>
        <v>6.4516129032258007E-2</v>
      </c>
      <c r="S87" s="25" t="str">
        <f t="shared" si="71"/>
        <v>20027Gestão de Projetos com Práticas Alinhadas ao PMI®251,7766497461933,7766497461928924818</v>
      </c>
      <c r="T87" s="25" t="str">
        <f>'[30]Preços 2017 - Região N, NE e CO'!$B$23&amp;'[30]Preços 2017 - Região N, NE e CO'!$C$23&amp;'[30]Preços 2017 - Região N, NE e CO'!$D$23&amp;'[30]Preços 2017 - Região N, NE e CO'!$E$23&amp;'[30]Preços 2017 - Região N, NE e CO'!$F$23&amp;'[30]Preços 2017 - Região N, NE e CO'!$G$23</f>
        <v>20027Gestão de Projetos com Práticas Alinhadas ao PMI®251,7766497461933,7766497461928924818</v>
      </c>
      <c r="U87" s="25" t="b">
        <f t="shared" si="72"/>
        <v>1</v>
      </c>
      <c r="W87" s="25" t="str">
        <f t="shared" si="73"/>
        <v>20027Gestão de Projetos com Práticas Alinhadas ao PMI®268,0203045685284,0203045685279226418</v>
      </c>
      <c r="X87" s="25" t="str">
        <f>'Preços 2018 - Região N, NE e CO'!B23&amp;'Preços 2018 - Região N, NE e CO'!C23&amp;'Preços 2018 - Região N, NE e CO'!D23&amp;'Preços 2018 - Região N, NE e CO'!E23&amp;'Preços 2018 - Região N, NE e CO'!F23&amp;'Preços 2018 - Região N, NE e CO'!G23</f>
        <v>20027Gestão de Projetos com Práticas Alinhadas ao PMI®294,4162436548224,4162436548223329018</v>
      </c>
      <c r="Y87" s="25" t="b">
        <f t="shared" si="74"/>
        <v>0</v>
      </c>
    </row>
    <row r="88" spans="2:25" x14ac:dyDescent="0.2">
      <c r="B88" s="34">
        <v>20729</v>
      </c>
      <c r="C88" s="32" t="s">
        <v>9</v>
      </c>
      <c r="D88" s="35">
        <f t="shared" si="61"/>
        <v>231.47208121827413</v>
      </c>
      <c r="E88" s="35">
        <f t="shared" si="62"/>
        <v>3.4720812182741119</v>
      </c>
      <c r="F88" s="35">
        <f>'[30]Preços 2017 - Região N, NE e CO'!$F$24</f>
        <v>228</v>
      </c>
      <c r="G88" s="82">
        <f>'[30]Preços 2017 - Região N, NE e CO'!$G$24</f>
        <v>18</v>
      </c>
      <c r="H88" s="23"/>
      <c r="I88" s="43">
        <f t="shared" si="63"/>
        <v>246.70050761421319</v>
      </c>
      <c r="J88" s="43">
        <f t="shared" si="64"/>
        <v>3.7005076142131976</v>
      </c>
      <c r="K88" s="43">
        <f t="shared" si="65"/>
        <v>243</v>
      </c>
      <c r="L88" s="49">
        <f t="shared" si="66"/>
        <v>18</v>
      </c>
      <c r="N88" s="92">
        <f t="shared" si="67"/>
        <v>0</v>
      </c>
      <c r="O88" s="57">
        <f t="shared" si="68"/>
        <v>1.4999999999999999E-2</v>
      </c>
      <c r="P88" s="57">
        <f t="shared" si="69"/>
        <v>6.5789473684210398E-2</v>
      </c>
      <c r="Q88" s="57">
        <f t="shared" si="70"/>
        <v>6.578947368421062E-2</v>
      </c>
      <c r="S88" s="25" t="str">
        <f t="shared" si="71"/>
        <v>20729Gestão Empresarial231,4720812182743,4720812182741122818</v>
      </c>
      <c r="T88" s="25" t="str">
        <f>'[30]Preços 2017 - Região N, NE e CO'!$B$24&amp;'[30]Preços 2017 - Região N, NE e CO'!$C$24&amp;'[30]Preços 2017 - Região N, NE e CO'!$D$24&amp;'[30]Preços 2017 - Região N, NE e CO'!$E$24&amp;'[30]Preços 2017 - Região N, NE e CO'!$F$24&amp;'[30]Preços 2017 - Região N, NE e CO'!$G$24</f>
        <v>20729Gestão Empresarial231,4720812182743,4720812182741122818</v>
      </c>
      <c r="U88" s="25" t="b">
        <f t="shared" si="72"/>
        <v>1</v>
      </c>
      <c r="W88" s="25" t="str">
        <f t="shared" si="73"/>
        <v>20729Gestão Empresarial246,7005076142133,700507614213224318</v>
      </c>
      <c r="X88" s="25" t="str">
        <f>'Preços 2018 - Região N, NE e CO'!B24&amp;'Preços 2018 - Região N, NE e CO'!C24&amp;'Preços 2018 - Região N, NE e CO'!D24&amp;'Preços 2018 - Região N, NE e CO'!E24&amp;'Preços 2018 - Região N, NE e CO'!F24&amp;'Preços 2018 - Região N, NE e CO'!G24</f>
        <v>20729Gestão Empresarial294,4162436548224,4162436548223329018</v>
      </c>
      <c r="Y88" s="25" t="b">
        <f t="shared" si="74"/>
        <v>0</v>
      </c>
    </row>
    <row r="89" spans="2:25" x14ac:dyDescent="0.2">
      <c r="B89" s="34">
        <v>20830</v>
      </c>
      <c r="C89" s="32" t="s">
        <v>19</v>
      </c>
      <c r="D89" s="35">
        <f t="shared" si="61"/>
        <v>220.30456852791878</v>
      </c>
      <c r="E89" s="35">
        <f t="shared" si="62"/>
        <v>3.3045685279187813</v>
      </c>
      <c r="F89" s="35">
        <f>'[30]Preços 2017 - Região N, NE e CO'!$F$25</f>
        <v>217</v>
      </c>
      <c r="G89" s="82">
        <f>'[30]Preços 2017 - Região N, NE e CO'!$G$25</f>
        <v>18</v>
      </c>
      <c r="H89" s="23"/>
      <c r="I89" s="43">
        <f t="shared" si="63"/>
        <v>235.53299492385787</v>
      </c>
      <c r="J89" s="43">
        <f t="shared" si="64"/>
        <v>3.532994923857868</v>
      </c>
      <c r="K89" s="43">
        <f t="shared" si="65"/>
        <v>232</v>
      </c>
      <c r="L89" s="49">
        <f t="shared" si="66"/>
        <v>18</v>
      </c>
      <c r="N89" s="92">
        <f t="shared" si="67"/>
        <v>0</v>
      </c>
      <c r="O89" s="57">
        <f t="shared" si="68"/>
        <v>1.4999999999999999E-2</v>
      </c>
      <c r="P89" s="57">
        <f t="shared" si="69"/>
        <v>6.9124423963133674E-2</v>
      </c>
      <c r="Q89" s="57">
        <f t="shared" si="70"/>
        <v>6.9124423963133674E-2</v>
      </c>
      <c r="S89" s="25" t="str">
        <f t="shared" si="71"/>
        <v>20830Gestão Estratégica da Tecnologia da Informação 220,3045685279193,3045685279187821718</v>
      </c>
      <c r="T89" s="25" t="str">
        <f>'[30]Preços 2017 - Região N, NE e CO'!$B$25&amp;'[30]Preços 2017 - Região N, NE e CO'!$C$25&amp;'[30]Preços 2017 - Região N, NE e CO'!$D$25&amp;'[30]Preços 2017 - Região N, NE e CO'!$E$25&amp;'[30]Preços 2017 - Região N, NE e CO'!$F$25&amp;'[30]Preços 2017 - Região N, NE e CO'!$G$25</f>
        <v>20830Gestão Estratégica da Tecnologia da Informação 220,3045685279193,3045685279187821718</v>
      </c>
      <c r="U89" s="25" t="b">
        <f t="shared" si="72"/>
        <v>1</v>
      </c>
      <c r="W89" s="25" t="str">
        <f t="shared" si="73"/>
        <v>20830Gestão Estratégica da Tecnologia da Informação 235,5329949238583,5329949238578723218</v>
      </c>
      <c r="X89" s="25" t="str">
        <f>'Preços 2018 - Região N, NE e CO'!B25&amp;'Preços 2018 - Região N, NE e CO'!C25&amp;'Preços 2018 - Região N, NE e CO'!D25&amp;'Preços 2018 - Região N, NE e CO'!E25&amp;'Preços 2018 - Região N, NE e CO'!F25&amp;'Preços 2018 - Região N, NE e CO'!G25</f>
        <v>20830Gestão Estratégica da Tecnologia da Informação 294,4162436548224,4162436548223329018</v>
      </c>
      <c r="Y89" s="25" t="b">
        <f t="shared" si="74"/>
        <v>0</v>
      </c>
    </row>
    <row r="90" spans="2:25" x14ac:dyDescent="0.2">
      <c r="B90" s="34">
        <v>20007</v>
      </c>
      <c r="C90" s="32" t="s">
        <v>7</v>
      </c>
      <c r="D90" s="35">
        <f t="shared" si="61"/>
        <v>233.502538071066</v>
      </c>
      <c r="E90" s="35">
        <f t="shared" si="62"/>
        <v>3.5025380710659899</v>
      </c>
      <c r="F90" s="35">
        <f>'[30]Preços 2017 - Região N, NE e CO'!$F$26</f>
        <v>230</v>
      </c>
      <c r="G90" s="82">
        <f>'[30]Preços 2017 - Região N, NE e CO'!$G$26</f>
        <v>18</v>
      </c>
      <c r="H90" s="23"/>
      <c r="I90" s="43">
        <f t="shared" si="63"/>
        <v>248.73096446700507</v>
      </c>
      <c r="J90" s="43">
        <f t="shared" si="64"/>
        <v>3.7309644670050757</v>
      </c>
      <c r="K90" s="43">
        <f t="shared" si="65"/>
        <v>245</v>
      </c>
      <c r="L90" s="49">
        <f t="shared" si="66"/>
        <v>18</v>
      </c>
      <c r="N90" s="92">
        <f t="shared" si="67"/>
        <v>0</v>
      </c>
      <c r="O90" s="57">
        <f t="shared" si="68"/>
        <v>1.4999999999999999E-2</v>
      </c>
      <c r="P90" s="57">
        <f t="shared" si="69"/>
        <v>6.5217391304347672E-2</v>
      </c>
      <c r="Q90" s="57">
        <f t="shared" si="70"/>
        <v>6.5217391304347894E-2</v>
      </c>
      <c r="S90" s="25" t="str">
        <f t="shared" si="71"/>
        <v>20007Gestão Estratégica de Pessoas e Psicologia Organizacional233,5025380710663,5025380710659923018</v>
      </c>
      <c r="T90" s="25" t="str">
        <f>'[30]Preços 2017 - Região N, NE e CO'!$B$26&amp;'[30]Preços 2017 - Região N, NE e CO'!$C$26&amp;'[30]Preços 2017 - Região N, NE e CO'!$D$26&amp;'[30]Preços 2017 - Região N, NE e CO'!$E$26&amp;'[30]Preços 2017 - Região N, NE e CO'!$F$26&amp;'[30]Preços 2017 - Região N, NE e CO'!$G$26</f>
        <v>20007Gestão Estratégica de Pessoas e Psicologia Organizacional233,5025380710663,5025380710659923018</v>
      </c>
      <c r="U90" s="25" t="b">
        <f t="shared" si="72"/>
        <v>1</v>
      </c>
      <c r="W90" s="25" t="str">
        <f t="shared" si="73"/>
        <v>20007Gestão Estratégica de Pessoas e Psicologia Organizacional248,7309644670053,7309644670050824518</v>
      </c>
      <c r="X90" s="25" t="str">
        <f>'Preços 2018 - Região N, NE e CO'!B26&amp;'Preços 2018 - Região N, NE e CO'!C26&amp;'Preços 2018 - Região N, NE e CO'!D26&amp;'Preços 2018 - Região N, NE e CO'!E26&amp;'Preços 2018 - Região N, NE e CO'!F26&amp;'Preços 2018 - Região N, NE e CO'!G26</f>
        <v>20007Gestão Estratégica de Pessoas e Psicologia Organizacional294,4162436548224,4162436548223329018</v>
      </c>
      <c r="Y90" s="25" t="b">
        <f t="shared" si="74"/>
        <v>0</v>
      </c>
    </row>
    <row r="91" spans="2:25" x14ac:dyDescent="0.2">
      <c r="B91" s="34">
        <v>20833</v>
      </c>
      <c r="C91" s="32" t="s">
        <v>43</v>
      </c>
      <c r="D91" s="35">
        <f t="shared" si="61"/>
        <v>235.53299492385787</v>
      </c>
      <c r="E91" s="35">
        <f t="shared" si="62"/>
        <v>3.532994923857868</v>
      </c>
      <c r="F91" s="35">
        <f>'[30]Preços 2017 - Região N, NE e CO'!$F$27</f>
        <v>232</v>
      </c>
      <c r="G91" s="82">
        <f>'[30]Preços 2017 - Região N, NE e CO'!$G$27</f>
        <v>18</v>
      </c>
      <c r="H91" s="23"/>
      <c r="I91" s="43">
        <f t="shared" si="63"/>
        <v>250.76142131979697</v>
      </c>
      <c r="J91" s="43">
        <f t="shared" si="64"/>
        <v>3.7614213197969542</v>
      </c>
      <c r="K91" s="43">
        <f t="shared" si="65"/>
        <v>247</v>
      </c>
      <c r="L91" s="49">
        <f t="shared" si="66"/>
        <v>18</v>
      </c>
      <c r="N91" s="92">
        <f t="shared" si="67"/>
        <v>0</v>
      </c>
      <c r="O91" s="57">
        <f t="shared" si="68"/>
        <v>1.4999999999999999E-2</v>
      </c>
      <c r="P91" s="57">
        <f t="shared" si="69"/>
        <v>6.4655172413793149E-2</v>
      </c>
      <c r="Q91" s="57">
        <f t="shared" si="70"/>
        <v>6.4655172413793149E-2</v>
      </c>
      <c r="S91" s="25" t="str">
        <f t="shared" si="71"/>
        <v>20833Gestão Inteligente: Liderança, Coaching e Inovação235,5329949238583,5329949238578723218</v>
      </c>
      <c r="T91" s="25" t="str">
        <f>'[30]Preços 2017 - Região N, NE e CO'!$B$27&amp;'[30]Preços 2017 - Região N, NE e CO'!$C$27&amp;'[30]Preços 2017 - Região N, NE e CO'!$D$27&amp;'[30]Preços 2017 - Região N, NE e CO'!$E$27&amp;'[30]Preços 2017 - Região N, NE e CO'!$F$27&amp;'[30]Preços 2017 - Região N, NE e CO'!$G$27</f>
        <v>20833Gestão Inteligente: Liderança, Coaching e Inovação235,5329949238583,5329949238578723218</v>
      </c>
      <c r="U91" s="25" t="b">
        <f t="shared" si="72"/>
        <v>1</v>
      </c>
      <c r="W91" s="25" t="str">
        <f t="shared" si="73"/>
        <v>20833Gestão Inteligente: Liderança, Coaching e Inovação250,7614213197973,7614213197969524718</v>
      </c>
      <c r="X91" s="25" t="str">
        <f>'Preços 2018 - Região N, NE e CO'!B27&amp;'Preços 2018 - Região N, NE e CO'!C27&amp;'Preços 2018 - Região N, NE e CO'!D27&amp;'Preços 2018 - Região N, NE e CO'!E27&amp;'Preços 2018 - Região N, NE e CO'!F27&amp;'Preços 2018 - Região N, NE e CO'!G27</f>
        <v>20833Gestão Inteligente: Liderança, Coaching e Inovação294,4162436548224,4162436548223329018</v>
      </c>
      <c r="Y91" s="25" t="b">
        <f t="shared" si="74"/>
        <v>0</v>
      </c>
    </row>
    <row r="92" spans="2:25" x14ac:dyDescent="0.2">
      <c r="B92" s="34">
        <v>20817</v>
      </c>
      <c r="C92" s="32" t="s">
        <v>17</v>
      </c>
      <c r="D92" s="35">
        <f t="shared" si="61"/>
        <v>248.73096446700507</v>
      </c>
      <c r="E92" s="35">
        <f t="shared" si="62"/>
        <v>3.7309644670050757</v>
      </c>
      <c r="F92" s="35">
        <f>'[30]Preços 2017 - Região N, NE e CO'!$F$28</f>
        <v>245</v>
      </c>
      <c r="G92" s="82">
        <f>'[30]Preços 2017 - Região N, NE e CO'!$G$28</f>
        <v>18</v>
      </c>
      <c r="H92" s="23"/>
      <c r="I92" s="43">
        <f t="shared" si="63"/>
        <v>264.97461928934013</v>
      </c>
      <c r="J92" s="43">
        <f t="shared" si="64"/>
        <v>3.9746192893401018</v>
      </c>
      <c r="K92" s="43">
        <f t="shared" si="65"/>
        <v>261</v>
      </c>
      <c r="L92" s="49">
        <f t="shared" si="66"/>
        <v>18</v>
      </c>
      <c r="N92" s="92">
        <f t="shared" si="67"/>
        <v>0</v>
      </c>
      <c r="O92" s="57">
        <f t="shared" si="68"/>
        <v>1.4999999999999999E-2</v>
      </c>
      <c r="P92" s="57">
        <f t="shared" si="69"/>
        <v>6.5306122448979709E-2</v>
      </c>
      <c r="Q92" s="57">
        <f t="shared" si="70"/>
        <v>6.5306122448979487E-2</v>
      </c>
      <c r="S92" s="25" t="str">
        <f t="shared" si="71"/>
        <v>20817Logística Empresarial e Supply Chain248,7309644670053,7309644670050824518</v>
      </c>
      <c r="T92" s="25" t="str">
        <f>'[30]Preços 2017 - Região N, NE e CO'!$B$28&amp;'[30]Preços 2017 - Região N, NE e CO'!$C$28&amp;'[30]Preços 2017 - Região N, NE e CO'!$D$28&amp;'[30]Preços 2017 - Região N, NE e CO'!$E$28&amp;'[30]Preços 2017 - Região N, NE e CO'!$F$28&amp;'[30]Preços 2017 - Região N, NE e CO'!$G$28</f>
        <v>20817Logística Empresarial e Supply Chain248,7309644670053,7309644670050824518</v>
      </c>
      <c r="U92" s="25" t="b">
        <f t="shared" si="72"/>
        <v>1</v>
      </c>
      <c r="W92" s="25" t="str">
        <f t="shared" si="73"/>
        <v>20817Logística Empresarial e Supply Chain264,974619289343,974619289340126118</v>
      </c>
      <c r="X92" s="25" t="str">
        <f>'Preços 2018 - Região N, NE e CO'!B28&amp;'Preços 2018 - Região N, NE e CO'!C28&amp;'Preços 2018 - Região N, NE e CO'!D28&amp;'Preços 2018 - Região N, NE e CO'!E28&amp;'Preços 2018 - Região N, NE e CO'!F28&amp;'Preços 2018 - Região N, NE e CO'!G28</f>
        <v>20817Logística Empresarial e Supply Chain294,4162436548224,4162436548223329018</v>
      </c>
      <c r="Y92" s="25" t="b">
        <f t="shared" si="74"/>
        <v>0</v>
      </c>
    </row>
    <row r="93" spans="2:25" x14ac:dyDescent="0.2">
      <c r="B93" s="34">
        <v>20012</v>
      </c>
      <c r="C93" s="32" t="s">
        <v>13</v>
      </c>
      <c r="D93" s="35">
        <f t="shared" si="61"/>
        <v>233.502538071066</v>
      </c>
      <c r="E93" s="35">
        <f t="shared" si="62"/>
        <v>3.5025380710659899</v>
      </c>
      <c r="F93" s="35">
        <f>'[30]Preços 2017 - Região N, NE e CO'!$F$29</f>
        <v>230</v>
      </c>
      <c r="G93" s="82">
        <f>'[30]Preços 2017 - Região N, NE e CO'!$G$29</f>
        <v>18</v>
      </c>
      <c r="H93" s="30"/>
      <c r="I93" s="43">
        <f t="shared" si="63"/>
        <v>248.73096446700507</v>
      </c>
      <c r="J93" s="43">
        <f t="shared" si="64"/>
        <v>3.7309644670050757</v>
      </c>
      <c r="K93" s="43">
        <f t="shared" si="65"/>
        <v>245</v>
      </c>
      <c r="L93" s="49">
        <f t="shared" si="66"/>
        <v>18</v>
      </c>
      <c r="N93" s="92">
        <f t="shared" si="67"/>
        <v>0</v>
      </c>
      <c r="O93" s="57">
        <f t="shared" si="68"/>
        <v>1.4999999999999999E-2</v>
      </c>
      <c r="P93" s="57">
        <f t="shared" si="69"/>
        <v>6.5217391304347672E-2</v>
      </c>
      <c r="Q93" s="57">
        <f t="shared" si="70"/>
        <v>6.5217391304347894E-2</v>
      </c>
      <c r="S93" s="25" t="str">
        <f t="shared" si="71"/>
        <v>20012Marketing233,5025380710663,5025380710659923018</v>
      </c>
      <c r="T93" s="25" t="str">
        <f>'[30]Preços 2017 - Região N, NE e CO'!$B$29&amp;'[30]Preços 2017 - Região N, NE e CO'!$C$29&amp;'[30]Preços 2017 - Região N, NE e CO'!$D$29&amp;'[30]Preços 2017 - Região N, NE e CO'!$E$29&amp;'[30]Preços 2017 - Região N, NE e CO'!$F$29&amp;'[30]Preços 2017 - Região N, NE e CO'!$G$29</f>
        <v>20012Marketing233,5025380710663,5025380710659923018</v>
      </c>
      <c r="U93" s="25" t="b">
        <f t="shared" si="72"/>
        <v>1</v>
      </c>
      <c r="W93" s="25" t="str">
        <f t="shared" si="73"/>
        <v>20012Marketing248,7309644670053,7309644670050824518</v>
      </c>
      <c r="X93" s="25" t="str">
        <f>'Preços 2018 - Região N, NE e CO'!B29&amp;'Preços 2018 - Região N, NE e CO'!C29&amp;'Preços 2018 - Região N, NE e CO'!D29&amp;'Preços 2018 - Região N, NE e CO'!E29&amp;'Preços 2018 - Região N, NE e CO'!F29&amp;'Preços 2018 - Região N, NE e CO'!G29</f>
        <v>20012Marketing294,4162436548224,4162436548223329018</v>
      </c>
      <c r="Y93" s="25" t="b">
        <f t="shared" si="74"/>
        <v>0</v>
      </c>
    </row>
    <row r="94" spans="2:25" x14ac:dyDescent="0.2">
      <c r="B94" s="34">
        <v>20816</v>
      </c>
      <c r="C94" s="32" t="s">
        <v>18</v>
      </c>
      <c r="D94" s="35">
        <f t="shared" si="61"/>
        <v>242.63959390862945</v>
      </c>
      <c r="E94" s="35">
        <f t="shared" si="62"/>
        <v>3.6395939086294415</v>
      </c>
      <c r="F94" s="35">
        <f>'[30]Preços 2017 - Região N, NE e CO'!$F$30</f>
        <v>239</v>
      </c>
      <c r="G94" s="82">
        <f>'[30]Preços 2017 - Região N, NE e CO'!$G$30</f>
        <v>18</v>
      </c>
      <c r="H94" s="23"/>
      <c r="I94" s="43">
        <f t="shared" si="63"/>
        <v>258.88324873096445</v>
      </c>
      <c r="J94" s="43">
        <f t="shared" si="64"/>
        <v>3.8832487309644668</v>
      </c>
      <c r="K94" s="43">
        <f t="shared" si="65"/>
        <v>255</v>
      </c>
      <c r="L94" s="49">
        <f t="shared" si="66"/>
        <v>18</v>
      </c>
      <c r="N94" s="92">
        <f t="shared" si="67"/>
        <v>0</v>
      </c>
      <c r="O94" s="57">
        <f t="shared" si="68"/>
        <v>1.4999999999999999E-2</v>
      </c>
      <c r="P94" s="57">
        <f t="shared" si="69"/>
        <v>6.6945606694560622E-2</v>
      </c>
      <c r="Q94" s="57">
        <f t="shared" si="70"/>
        <v>6.6945606694560622E-2</v>
      </c>
      <c r="S94" s="25" t="str">
        <f t="shared" si="71"/>
        <v>20816MBA - Gestão de Varejo242,6395939086293,6395939086294423918</v>
      </c>
      <c r="T94" s="25" t="str">
        <f>'[30]Preços 2017 - Região N, NE e CO'!$B$30&amp;'[30]Preços 2017 - Região N, NE e CO'!$C$30&amp;'[30]Preços 2017 - Região N, NE e CO'!$D$30&amp;'[30]Preços 2017 - Região N, NE e CO'!$E$30&amp;'[30]Preços 2017 - Região N, NE e CO'!$F$30&amp;'[30]Preços 2017 - Região N, NE e CO'!$G$30</f>
        <v>20816MBA - Gestão de Varejo242,6395939086293,6395939086294423918</v>
      </c>
      <c r="U94" s="25" t="b">
        <f t="shared" si="72"/>
        <v>1</v>
      </c>
      <c r="W94" s="25" t="str">
        <f t="shared" si="73"/>
        <v>20816MBA - Gestão de Varejo258,8832487309643,8832487309644725518</v>
      </c>
      <c r="X94" s="25" t="str">
        <f>'Preços 2018 - Região N, NE e CO'!B30&amp;'Preços 2018 - Região N, NE e CO'!C30&amp;'Preços 2018 - Região N, NE e CO'!D30&amp;'Preços 2018 - Região N, NE e CO'!E30&amp;'Preços 2018 - Região N, NE e CO'!F30&amp;'Preços 2018 - Região N, NE e CO'!G30</f>
        <v>20816MBA - Gestão de Varejo294,4162436548224,4162436548223329018</v>
      </c>
      <c r="Y94" s="25" t="b">
        <f t="shared" si="74"/>
        <v>0</v>
      </c>
    </row>
    <row r="95" spans="2:25" x14ac:dyDescent="0.2">
      <c r="B95" s="54">
        <v>20026</v>
      </c>
      <c r="C95" s="32" t="s">
        <v>41</v>
      </c>
      <c r="D95" s="35">
        <f t="shared" si="61"/>
        <v>220.30456852791878</v>
      </c>
      <c r="E95" s="35">
        <f t="shared" si="62"/>
        <v>3.3045685279187813</v>
      </c>
      <c r="F95" s="35">
        <f>'[30]Preços 2017 - Região N, NE e CO'!$F$31</f>
        <v>217</v>
      </c>
      <c r="G95" s="82">
        <f>'[30]Preços 2017 - Região N, NE e CO'!$G$31</f>
        <v>18</v>
      </c>
      <c r="H95" s="23"/>
      <c r="I95" s="43">
        <f t="shared" si="63"/>
        <v>235.53299492385787</v>
      </c>
      <c r="J95" s="43">
        <f t="shared" si="64"/>
        <v>3.532994923857868</v>
      </c>
      <c r="K95" s="43">
        <f t="shared" si="65"/>
        <v>232</v>
      </c>
      <c r="L95" s="49">
        <f t="shared" si="66"/>
        <v>18</v>
      </c>
      <c r="N95" s="92">
        <f t="shared" si="67"/>
        <v>0</v>
      </c>
      <c r="O95" s="57">
        <f t="shared" si="68"/>
        <v>1.4999999999999999E-2</v>
      </c>
      <c r="P95" s="57">
        <f t="shared" si="69"/>
        <v>6.9124423963133674E-2</v>
      </c>
      <c r="Q95" s="57">
        <f t="shared" si="70"/>
        <v>6.9124423963133674E-2</v>
      </c>
      <c r="S95" s="25" t="str">
        <f t="shared" si="71"/>
        <v>20026Mediação e Arbitragem220,3045685279193,3045685279187821718</v>
      </c>
      <c r="T95" s="25" t="str">
        <f>'[30]Preços 2017 - Região N, NE e CO'!$B$31&amp;'[30]Preços 2017 - Região N, NE e CO'!$C$31&amp;'[30]Preços 2017 - Região N, NE e CO'!$D$31&amp;'[30]Preços 2017 - Região N, NE e CO'!$E$31&amp;'[30]Preços 2017 - Região N, NE e CO'!$F$31&amp;'[30]Preços 2017 - Região N, NE e CO'!$G$31</f>
        <v>20026Mediação e Arbitragem220,3045685279193,3045685279187821718</v>
      </c>
      <c r="U95" s="25" t="b">
        <f t="shared" si="72"/>
        <v>1</v>
      </c>
      <c r="W95" s="25" t="str">
        <f t="shared" si="73"/>
        <v>20026Mediação e Arbitragem235,5329949238583,5329949238578723218</v>
      </c>
      <c r="X95" s="25" t="str">
        <f>'Preços 2018 - Região N, NE e CO'!B31&amp;'Preços 2018 - Região N, NE e CO'!C31&amp;'Preços 2018 - Região N, NE e CO'!D31&amp;'Preços 2018 - Região N, NE e CO'!E31&amp;'Preços 2018 - Região N, NE e CO'!F31&amp;'Preços 2018 - Região N, NE e CO'!G31</f>
        <v>20026Mediação e Arbitragem294,4162436548224,4162436548223329018</v>
      </c>
      <c r="Y95" s="25" t="b">
        <f t="shared" si="74"/>
        <v>0</v>
      </c>
    </row>
    <row r="96" spans="2:25" x14ac:dyDescent="0.2">
      <c r="B96" s="34">
        <v>20022</v>
      </c>
      <c r="C96" s="32" t="s">
        <v>48</v>
      </c>
      <c r="D96" s="35">
        <f t="shared" si="61"/>
        <v>231.47208121827413</v>
      </c>
      <c r="E96" s="35">
        <f t="shared" si="62"/>
        <v>3.4720812182741119</v>
      </c>
      <c r="F96" s="35">
        <f>'[30]Preços 2017 - Região N, NE e CO'!$F$32</f>
        <v>228</v>
      </c>
      <c r="G96" s="82">
        <f>'[30]Preços 2017 - Região N, NE e CO'!$G$32</f>
        <v>18</v>
      </c>
      <c r="H96" s="23"/>
      <c r="I96" s="43">
        <f t="shared" si="63"/>
        <v>246.70050761421319</v>
      </c>
      <c r="J96" s="43">
        <f t="shared" si="64"/>
        <v>3.7005076142131976</v>
      </c>
      <c r="K96" s="43">
        <f t="shared" si="65"/>
        <v>243</v>
      </c>
      <c r="L96" s="49">
        <f t="shared" si="66"/>
        <v>18</v>
      </c>
      <c r="N96" s="92">
        <f t="shared" si="67"/>
        <v>0</v>
      </c>
      <c r="O96" s="57">
        <f t="shared" si="68"/>
        <v>1.4999999999999999E-2</v>
      </c>
      <c r="P96" s="57">
        <f t="shared" si="69"/>
        <v>6.5789473684210398E-2</v>
      </c>
      <c r="Q96" s="57">
        <f t="shared" si="70"/>
        <v>6.578947368421062E-2</v>
      </c>
      <c r="S96" s="25" t="str">
        <f t="shared" si="71"/>
        <v>20022Português - Língua e Literatura231,4720812182743,4720812182741122818</v>
      </c>
      <c r="T96" s="25" t="str">
        <f>'[30]Preços 2017 - Região N, NE e CO'!$B$32&amp;'[30]Preços 2017 - Região N, NE e CO'!$C$32&amp;'[30]Preços 2017 - Região N, NE e CO'!$D$32&amp;'[30]Preços 2017 - Região N, NE e CO'!$E$32&amp;'[30]Preços 2017 - Região N, NE e CO'!$F$32&amp;'[30]Preços 2017 - Região N, NE e CO'!$G$32</f>
        <v>20022Português - Língua e Literatura231,4720812182743,4720812182741122818</v>
      </c>
      <c r="U96" s="25" t="b">
        <f t="shared" si="72"/>
        <v>1</v>
      </c>
      <c r="W96" s="25" t="str">
        <f t="shared" si="73"/>
        <v>20022Português - Língua e Literatura246,7005076142133,700507614213224318</v>
      </c>
      <c r="X96" s="25" t="str">
        <f>'Preços 2018 - Região N, NE e CO'!B32&amp;'Preços 2018 - Região N, NE e CO'!C32&amp;'Preços 2018 - Região N, NE e CO'!D32&amp;'Preços 2018 - Região N, NE e CO'!E32&amp;'Preços 2018 - Região N, NE e CO'!F32&amp;'Preços 2018 - Região N, NE e CO'!G32</f>
        <v>20022Português - Língua e Literatura294,4162436548224,4162436548223329018</v>
      </c>
      <c r="Y96" s="25" t="b">
        <f t="shared" si="74"/>
        <v>0</v>
      </c>
    </row>
    <row r="97" spans="2:25" x14ac:dyDescent="0.2">
      <c r="B97" s="34">
        <v>20031</v>
      </c>
      <c r="C97" s="32" t="s">
        <v>23</v>
      </c>
      <c r="D97" s="35">
        <f t="shared" si="61"/>
        <v>234.51776649746193</v>
      </c>
      <c r="E97" s="35">
        <f t="shared" si="62"/>
        <v>3.5177664974619289</v>
      </c>
      <c r="F97" s="35">
        <f>'[30]Preços 2017 - Região N, NE e CO'!$F$33</f>
        <v>231</v>
      </c>
      <c r="G97" s="82">
        <f>'[30]Preços 2017 - Região N, NE e CO'!$G$33</f>
        <v>18</v>
      </c>
      <c r="H97" s="30"/>
      <c r="I97" s="43">
        <f t="shared" si="63"/>
        <v>249.74619289340103</v>
      </c>
      <c r="J97" s="43">
        <f t="shared" si="64"/>
        <v>3.7461928934010151</v>
      </c>
      <c r="K97" s="43">
        <f t="shared" si="65"/>
        <v>246</v>
      </c>
      <c r="L97" s="49">
        <f t="shared" si="66"/>
        <v>18</v>
      </c>
      <c r="N97" s="92">
        <f t="shared" si="67"/>
        <v>0</v>
      </c>
      <c r="O97" s="57">
        <f t="shared" si="68"/>
        <v>1.4999999999999999E-2</v>
      </c>
      <c r="P97" s="57">
        <f t="shared" si="69"/>
        <v>6.4935064935065068E-2</v>
      </c>
      <c r="Q97" s="57">
        <f t="shared" si="70"/>
        <v>6.4935064935064846E-2</v>
      </c>
      <c r="S97" s="25" t="str">
        <f t="shared" si="71"/>
        <v>20031Prática de Ensino de Ciências para Educação Infantil e Fundamental I234,5177664974623,5177664974619323118</v>
      </c>
      <c r="T97" s="25" t="str">
        <f>'[30]Preços 2017 - Região N, NE e CO'!$B$33&amp;'[30]Preços 2017 - Região N, NE e CO'!$C$33&amp;'[30]Preços 2017 - Região N, NE e CO'!$D$33&amp;'[30]Preços 2017 - Região N, NE e CO'!$E$33&amp;'[30]Preços 2017 - Região N, NE e CO'!$F$33&amp;'[30]Preços 2017 - Região N, NE e CO'!$G$33</f>
        <v>20031Prática de Ensino de Ciências para Educação Infantil e Fundamental I234,5177664974623,5177664974619323118</v>
      </c>
      <c r="U97" s="25" t="b">
        <f t="shared" si="72"/>
        <v>1</v>
      </c>
      <c r="W97" s="25" t="str">
        <f t="shared" si="73"/>
        <v>20031Prática de Ensino de Ciências para Educação Infantil e Fundamental I249,7461928934013,7461928934010224618</v>
      </c>
      <c r="X97" s="25" t="str">
        <f>'Preços 2018 - Região N, NE e CO'!B33&amp;'Preços 2018 - Região N, NE e CO'!C33&amp;'Preços 2018 - Região N, NE e CO'!D33&amp;'Preços 2018 - Região N, NE e CO'!E33&amp;'Preços 2018 - Região N, NE e CO'!F33&amp;'Preços 2018 - Região N, NE e CO'!G33</f>
        <v>20031Prática de Ensino de Ciências para Educação Infantil e Fundamental I294,4162436548224,4162436548223329018</v>
      </c>
      <c r="Y97" s="25" t="b">
        <f t="shared" si="74"/>
        <v>0</v>
      </c>
    </row>
    <row r="98" spans="2:25" x14ac:dyDescent="0.2">
      <c r="B98" s="34">
        <v>20832</v>
      </c>
      <c r="C98" s="32" t="s">
        <v>44</v>
      </c>
      <c r="D98" s="35">
        <f t="shared" si="61"/>
        <v>242.63959390862945</v>
      </c>
      <c r="E98" s="35">
        <f t="shared" si="62"/>
        <v>3.6395939086294415</v>
      </c>
      <c r="F98" s="35">
        <f>'[30]Preços 2017 - Região N, NE e CO'!$F$34</f>
        <v>239</v>
      </c>
      <c r="G98" s="82">
        <f>'[30]Preços 2017 - Região N, NE e CO'!$G$34</f>
        <v>18</v>
      </c>
      <c r="H98" s="45"/>
      <c r="I98" s="43">
        <f t="shared" si="63"/>
        <v>258.88324873096445</v>
      </c>
      <c r="J98" s="43">
        <f t="shared" si="64"/>
        <v>3.8832487309644668</v>
      </c>
      <c r="K98" s="43">
        <f t="shared" si="65"/>
        <v>255</v>
      </c>
      <c r="L98" s="49">
        <f t="shared" si="66"/>
        <v>18</v>
      </c>
      <c r="N98" s="92">
        <f t="shared" si="67"/>
        <v>0</v>
      </c>
      <c r="O98" s="57">
        <f t="shared" si="68"/>
        <v>1.4999999999999999E-2</v>
      </c>
      <c r="P98" s="57">
        <f t="shared" si="69"/>
        <v>6.6945606694560622E-2</v>
      </c>
      <c r="Q98" s="57">
        <f t="shared" si="70"/>
        <v>6.6945606694560622E-2</v>
      </c>
      <c r="S98" s="25" t="str">
        <f t="shared" si="71"/>
        <v>20832Profetismo Apocalíptico242,6395939086293,6395939086294423918</v>
      </c>
      <c r="T98" s="25" t="str">
        <f>'[30]Preços 2017 - Região N, NE e CO'!$B$34&amp;'[30]Preços 2017 - Região N, NE e CO'!$C$34&amp;'[30]Preços 2017 - Região N, NE e CO'!$D$34&amp;'[30]Preços 2017 - Região N, NE e CO'!$E$34&amp;'[30]Preços 2017 - Região N, NE e CO'!$F$34&amp;'[30]Preços 2017 - Região N, NE e CO'!$G$34</f>
        <v>20832Profetismo Apocalíptico242,6395939086293,6395939086294423918</v>
      </c>
      <c r="U98" s="25" t="b">
        <f t="shared" si="72"/>
        <v>1</v>
      </c>
      <c r="W98" s="25" t="str">
        <f t="shared" si="73"/>
        <v>20832Profetismo Apocalíptico258,8832487309643,8832487309644725518</v>
      </c>
      <c r="X98" s="25" t="str">
        <f>'Preços 2018 - Região N, NE e CO'!B34&amp;'Preços 2018 - Região N, NE e CO'!C34&amp;'Preços 2018 - Região N, NE e CO'!D34&amp;'Preços 2018 - Região N, NE e CO'!E34&amp;'Preços 2018 - Região N, NE e CO'!F34&amp;'Preços 2018 - Região N, NE e CO'!G34</f>
        <v>20832Profetismo Apocalíptico294,4162436548224,4162436548223329018</v>
      </c>
      <c r="Y98" s="25" t="b">
        <f t="shared" si="74"/>
        <v>0</v>
      </c>
    </row>
    <row r="99" spans="2:25" x14ac:dyDescent="0.2">
      <c r="B99" s="34">
        <v>20801</v>
      </c>
      <c r="C99" s="32" t="s">
        <v>10</v>
      </c>
      <c r="D99" s="35">
        <f t="shared" si="61"/>
        <v>231.47208121827413</v>
      </c>
      <c r="E99" s="35">
        <f t="shared" si="62"/>
        <v>3.4720812182741119</v>
      </c>
      <c r="F99" s="35">
        <f>'[30]Preços 2017 - Região N, NE e CO'!$F$35</f>
        <v>228</v>
      </c>
      <c r="G99" s="82">
        <f>'[30]Preços 2017 - Região N, NE e CO'!$G$35</f>
        <v>18</v>
      </c>
      <c r="H99" s="23"/>
      <c r="I99" s="43">
        <f t="shared" si="63"/>
        <v>246.70050761421319</v>
      </c>
      <c r="J99" s="43">
        <f t="shared" si="64"/>
        <v>3.7005076142131976</v>
      </c>
      <c r="K99" s="43">
        <f t="shared" si="65"/>
        <v>243</v>
      </c>
      <c r="L99" s="49">
        <f t="shared" si="66"/>
        <v>18</v>
      </c>
      <c r="N99" s="92">
        <f t="shared" si="67"/>
        <v>0</v>
      </c>
      <c r="O99" s="57">
        <f t="shared" si="68"/>
        <v>1.4999999999999999E-2</v>
      </c>
      <c r="P99" s="57">
        <f t="shared" si="69"/>
        <v>6.5789473684210398E-2</v>
      </c>
      <c r="Q99" s="57">
        <f t="shared" si="70"/>
        <v>6.578947368421062E-2</v>
      </c>
      <c r="S99" s="25" t="str">
        <f t="shared" si="71"/>
        <v>20801Psicopedagogia231,4720812182743,4720812182741122818</v>
      </c>
      <c r="T99" s="25" t="str">
        <f>'[30]Preços 2017 - Região N, NE e CO'!$B$35&amp;'[30]Preços 2017 - Região N, NE e CO'!$C$35&amp;'[30]Preços 2017 - Região N, NE e CO'!$D$35&amp;'[30]Preços 2017 - Região N, NE e CO'!$E$35&amp;'[30]Preços 2017 - Região N, NE e CO'!$F$35&amp;'[30]Preços 2017 - Região N, NE e CO'!$G$35</f>
        <v>20801Psicopedagogia231,4720812182743,4720812182741122818</v>
      </c>
      <c r="U99" s="25" t="b">
        <f t="shared" si="72"/>
        <v>1</v>
      </c>
      <c r="W99" s="25" t="str">
        <f t="shared" si="73"/>
        <v>20801Psicopedagogia246,7005076142133,700507614213224318</v>
      </c>
      <c r="X99" s="25" t="str">
        <f>'Preços 2018 - Região N, NE e CO'!B35&amp;'Preços 2018 - Região N, NE e CO'!C35&amp;'Preços 2018 - Região N, NE e CO'!D35&amp;'Preços 2018 - Região N, NE e CO'!E35&amp;'Preços 2018 - Região N, NE e CO'!F35&amp;'Preços 2018 - Região N, NE e CO'!G35</f>
        <v>20801Psicopedagogia294,4162436548224,4162436548223329018</v>
      </c>
      <c r="Y99" s="25" t="b">
        <f t="shared" si="74"/>
        <v>0</v>
      </c>
    </row>
    <row r="100" spans="2:25" x14ac:dyDescent="0.2">
      <c r="B100" s="54">
        <v>20023</v>
      </c>
      <c r="C100" s="32" t="s">
        <v>49</v>
      </c>
      <c r="D100" s="35">
        <f>F100/(1-$G$4)</f>
        <v>313.70558375634516</v>
      </c>
      <c r="E100" s="35">
        <f>D100*$G$4</f>
        <v>4.7055837563451774</v>
      </c>
      <c r="F100" s="35">
        <f>'[30]Preços 2017 - Região N, NE e CO'!$F$36</f>
        <v>309</v>
      </c>
      <c r="G100" s="82">
        <f>'[30]Preços 2017 - Região N, NE e CO'!$G$36</f>
        <v>18</v>
      </c>
      <c r="H100" s="30"/>
      <c r="I100" s="43">
        <f t="shared" si="63"/>
        <v>335.02538071065993</v>
      </c>
      <c r="J100" s="43">
        <f t="shared" si="64"/>
        <v>5.0253807106598991</v>
      </c>
      <c r="K100" s="43">
        <f t="shared" si="65"/>
        <v>330</v>
      </c>
      <c r="L100" s="49">
        <f t="shared" si="66"/>
        <v>18</v>
      </c>
      <c r="N100" s="92">
        <f t="shared" si="67"/>
        <v>0</v>
      </c>
      <c r="O100" s="57">
        <f t="shared" si="68"/>
        <v>1.5000000000000001E-2</v>
      </c>
      <c r="P100" s="57">
        <f t="shared" si="69"/>
        <v>6.7961165048543881E-2</v>
      </c>
      <c r="Q100" s="57">
        <f t="shared" si="70"/>
        <v>6.7961165048543659E-2</v>
      </c>
      <c r="S100" s="25" t="str">
        <f t="shared" si="71"/>
        <v>20023Relações Trabalhistas e Gestão do Passivo313,7055837563454,7055837563451830918</v>
      </c>
      <c r="T100" s="25" t="str">
        <f>'[30]Preços 2017 - Região N, NE e CO'!$B$36&amp;'[30]Preços 2017 - Região N, NE e CO'!$C$36&amp;'[30]Preços 2017 - Região N, NE e CO'!$D$36&amp;'[30]Preços 2017 - Região N, NE e CO'!$E$36&amp;'[30]Preços 2017 - Região N, NE e CO'!$F$36&amp;'[30]Preços 2017 - Região N, NE e CO'!$G$36</f>
        <v>20023Relações Trabalhistas e Gestão do Passivo313,7055837563454,7055837563451830918</v>
      </c>
      <c r="U100" s="25" t="b">
        <f t="shared" si="72"/>
        <v>1</v>
      </c>
      <c r="W100" s="25" t="str">
        <f t="shared" si="73"/>
        <v>20023Relações Trabalhistas e Gestão do Passivo335,025380710665,025380710659933018</v>
      </c>
      <c r="X100" s="25" t="e">
        <f>'Preços 2018 - Região N, NE e CO'!B36&amp;'Preços 2018 - Região N, NE e CO'!C36&amp;'Preços 2018 - Região N, NE e CO'!#REF!&amp;'Preços 2018 - Região N, NE e CO'!#REF!&amp;'Preços 2018 - Região N, NE e CO'!#REF!&amp;'Preços 2018 - Região N, NE e CO'!#REF!</f>
        <v>#REF!</v>
      </c>
      <c r="Y100" s="25" t="e">
        <f t="shared" si="74"/>
        <v>#REF!</v>
      </c>
    </row>
  </sheetData>
  <mergeCells count="4">
    <mergeCell ref="I2:J2"/>
    <mergeCell ref="I4:J4"/>
    <mergeCell ref="B2:G2"/>
    <mergeCell ref="B4:C4"/>
  </mergeCells>
  <printOptions horizontalCentered="1"/>
  <pageMargins left="0.39370078740157483" right="0.39370078740157483" top="1.3779527559055118" bottom="0.39370078740157483" header="0.39370078740157483" footer="0"/>
  <pageSetup paperSize="9" scale="76" orientation="portrait" horizontalDpi="1200" verticalDpi="1200" r:id="rId1"/>
  <headerFooter alignWithMargins="0">
    <oddHeader>&amp;R&amp;"Arial,Negrito"&amp;18Anexo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2:G8"/>
  <sheetViews>
    <sheetView showGridLines="0" workbookViewId="0">
      <selection activeCell="F8" sqref="F8"/>
    </sheetView>
  </sheetViews>
  <sheetFormatPr defaultRowHeight="12.75" x14ac:dyDescent="0.2"/>
  <cols>
    <col min="2" max="2" width="44.42578125" bestFit="1" customWidth="1"/>
    <col min="3" max="3" width="12.140625" customWidth="1"/>
    <col min="4" max="4" width="13.42578125" customWidth="1"/>
    <col min="5" max="5" width="12.140625" customWidth="1"/>
    <col min="6" max="6" width="13.42578125" customWidth="1"/>
    <col min="7" max="7" width="9" customWidth="1"/>
  </cols>
  <sheetData>
    <row r="2" spans="2:7" ht="15" x14ac:dyDescent="0.2">
      <c r="B2" s="76"/>
      <c r="C2" s="122" t="s">
        <v>318</v>
      </c>
      <c r="D2" s="122"/>
      <c r="E2" s="123" t="s">
        <v>322</v>
      </c>
      <c r="F2" s="123"/>
      <c r="G2" s="123"/>
    </row>
    <row r="3" spans="2:7" ht="45" x14ac:dyDescent="0.2">
      <c r="B3" s="72" t="s">
        <v>2</v>
      </c>
      <c r="C3" s="73" t="s">
        <v>319</v>
      </c>
      <c r="D3" s="73" t="s">
        <v>320</v>
      </c>
      <c r="E3" s="73" t="s">
        <v>319</v>
      </c>
      <c r="F3" s="73" t="s">
        <v>320</v>
      </c>
      <c r="G3" s="73" t="s">
        <v>321</v>
      </c>
    </row>
    <row r="4" spans="2:7" ht="15" x14ac:dyDescent="0.2">
      <c r="B4" s="74" t="s">
        <v>42</v>
      </c>
      <c r="C4" s="77">
        <v>580.71065989847716</v>
      </c>
      <c r="D4" s="77">
        <v>572</v>
      </c>
      <c r="E4" s="78">
        <f>'Preços 2018 - Região ABC e GRU'!D15</f>
        <v>294.41624365482232</v>
      </c>
      <c r="F4" s="78">
        <f>'Cálc. Reaj. 2018 - Mensal. 2017'!K18</f>
        <v>293</v>
      </c>
      <c r="G4" s="75">
        <f>[31]Orçamento!$D$58</f>
        <v>0.1271583713560529</v>
      </c>
    </row>
    <row r="5" spans="2:7" ht="15" x14ac:dyDescent="0.2">
      <c r="B5" s="74" t="s">
        <v>43</v>
      </c>
      <c r="C5" s="77">
        <v>585.7868020304569</v>
      </c>
      <c r="D5" s="77">
        <v>577</v>
      </c>
      <c r="E5" s="78">
        <f>'Cálc. Reaj. 2018 - Mensal. 2017'!I31</f>
        <v>310.65989847715736</v>
      </c>
      <c r="F5" s="78">
        <f>'Cálc. Reaj. 2018 - Mensal. 2017'!K31</f>
        <v>306</v>
      </c>
      <c r="G5" s="75">
        <f>[32]Orçamento!$D$58</f>
        <v>9.7622492606110126E-2</v>
      </c>
    </row>
    <row r="6" spans="2:7" ht="15" x14ac:dyDescent="0.2">
      <c r="B6" s="74" t="s">
        <v>44</v>
      </c>
      <c r="C6" s="77">
        <v>580.71065989847716</v>
      </c>
      <c r="D6" s="77">
        <v>572</v>
      </c>
      <c r="E6" s="78">
        <f>'Cálc. Reaj. 2018 - Mensal. 2017'!I38</f>
        <v>418.2741116751269</v>
      </c>
      <c r="F6" s="78">
        <f>'Cálc. Reaj. 2018 - Mensal. 2017'!K38</f>
        <v>412</v>
      </c>
      <c r="G6" s="75">
        <f>[33]Orçamento!$D$58</f>
        <v>0.13101068756493228</v>
      </c>
    </row>
    <row r="8" spans="2:7" ht="15" x14ac:dyDescent="0.2">
      <c r="B8" s="79" t="s">
        <v>323</v>
      </c>
    </row>
  </sheetData>
  <mergeCells count="2">
    <mergeCell ref="C2:D2"/>
    <mergeCell ref="E2:G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theme="0" tint="-4.9989318521683403E-2"/>
  </sheetPr>
  <dimension ref="B1:F120"/>
  <sheetViews>
    <sheetView showGridLines="0" workbookViewId="0">
      <pane ySplit="2" topLeftCell="A3" activePane="bottomLeft" state="frozen"/>
      <selection pane="bottomLeft" activeCell="F3" sqref="F3"/>
    </sheetView>
  </sheetViews>
  <sheetFormatPr defaultColWidth="9.140625" defaultRowHeight="12.75" x14ac:dyDescent="0.2"/>
  <cols>
    <col min="1" max="1" width="1.7109375" style="59" customWidth="1"/>
    <col min="2" max="2" width="16.28515625" style="59" customWidth="1"/>
    <col min="3" max="3" width="24.28515625" style="59" customWidth="1"/>
    <col min="4" max="4" width="16.140625" style="59" customWidth="1"/>
    <col min="5" max="5" width="7.42578125" style="59" customWidth="1"/>
    <col min="6" max="6" width="17.42578125" style="59" bestFit="1" customWidth="1"/>
    <col min="7" max="7" width="11.140625" style="59" customWidth="1"/>
    <col min="8" max="8" width="17.28515625" style="59" bestFit="1" customWidth="1"/>
    <col min="9" max="9" width="12" style="59" customWidth="1"/>
    <col min="10" max="10" width="4.85546875" style="59" customWidth="1"/>
    <col min="11" max="16384" width="9.140625" style="59"/>
  </cols>
  <sheetData>
    <row r="1" spans="2:6" ht="7.9" customHeight="1" x14ac:dyDescent="0.2"/>
    <row r="2" spans="2:6" ht="15.75" x14ac:dyDescent="0.25">
      <c r="B2" s="66" t="s">
        <v>299</v>
      </c>
      <c r="C2" s="66" t="s">
        <v>32</v>
      </c>
      <c r="D2" s="66" t="s">
        <v>31</v>
      </c>
      <c r="E2" s="66" t="s">
        <v>119</v>
      </c>
      <c r="F2" s="66" t="s">
        <v>376</v>
      </c>
    </row>
    <row r="3" spans="2:6" x14ac:dyDescent="0.2">
      <c r="B3" s="60" t="s">
        <v>33</v>
      </c>
      <c r="C3" s="60" t="s">
        <v>68</v>
      </c>
      <c r="D3" s="60" t="s">
        <v>131</v>
      </c>
      <c r="E3" s="60" t="s">
        <v>134</v>
      </c>
      <c r="F3" s="68" t="str">
        <f>IF(IFERROR(VLOOKUP(C3,Plan1!E:E,1,0),0)=0,"Não","Sim")</f>
        <v>Sim</v>
      </c>
    </row>
    <row r="4" spans="2:6" x14ac:dyDescent="0.2">
      <c r="B4" s="60" t="s">
        <v>33</v>
      </c>
      <c r="C4" s="60" t="s">
        <v>173</v>
      </c>
      <c r="D4" s="60" t="s">
        <v>131</v>
      </c>
      <c r="E4" s="60" t="s">
        <v>134</v>
      </c>
      <c r="F4" s="68" t="str">
        <f>IF(IFERROR(VLOOKUP(C4,Plan1!E:E,1,0),0)=0,"Não","Sim")</f>
        <v>Sim</v>
      </c>
    </row>
    <row r="5" spans="2:6" x14ac:dyDescent="0.2">
      <c r="B5" s="60" t="s">
        <v>33</v>
      </c>
      <c r="C5" s="60" t="s">
        <v>159</v>
      </c>
      <c r="D5" s="60" t="s">
        <v>131</v>
      </c>
      <c r="E5" s="60" t="s">
        <v>134</v>
      </c>
      <c r="F5" s="68" t="str">
        <f>IF(IFERROR(VLOOKUP(C5,Plan1!E:E,1,0),0)=0,"Não","Sim")</f>
        <v>Sim</v>
      </c>
    </row>
    <row r="6" spans="2:6" x14ac:dyDescent="0.2">
      <c r="B6" s="60" t="s">
        <v>33</v>
      </c>
      <c r="C6" s="60" t="s">
        <v>151</v>
      </c>
      <c r="D6" s="60" t="s">
        <v>131</v>
      </c>
      <c r="E6" s="60" t="s">
        <v>134</v>
      </c>
      <c r="F6" s="68" t="str">
        <f>IF(IFERROR(VLOOKUP(C6,Plan1!E:E,1,0),0)=0,"Não","Sim")</f>
        <v>Não</v>
      </c>
    </row>
    <row r="7" spans="2:6" x14ac:dyDescent="0.2">
      <c r="B7" s="60" t="s">
        <v>33</v>
      </c>
      <c r="C7" s="60" t="s">
        <v>309</v>
      </c>
      <c r="D7" s="60" t="s">
        <v>131</v>
      </c>
      <c r="E7" s="60" t="s">
        <v>134</v>
      </c>
      <c r="F7" s="69" t="str">
        <f>IF(IFERROR(VLOOKUP(C7,Plan1!E:E,1,0),0)=0,"Não","Sim")</f>
        <v>Sim</v>
      </c>
    </row>
    <row r="8" spans="2:6" ht="13.5" thickBot="1" x14ac:dyDescent="0.25">
      <c r="B8" s="67" t="s">
        <v>33</v>
      </c>
      <c r="C8" s="67" t="s">
        <v>155</v>
      </c>
      <c r="D8" s="67" t="s">
        <v>131</v>
      </c>
      <c r="E8" s="67" t="s">
        <v>134</v>
      </c>
      <c r="F8" s="70" t="str">
        <f>IF(IFERROR(VLOOKUP(C8,Plan1!E:E,1,0),0)=0,"Não","Sim")</f>
        <v>Não</v>
      </c>
    </row>
    <row r="9" spans="2:6" x14ac:dyDescent="0.2">
      <c r="B9" s="64" t="s">
        <v>34</v>
      </c>
      <c r="C9" s="64" t="s">
        <v>50</v>
      </c>
      <c r="D9" s="64" t="s">
        <v>140</v>
      </c>
      <c r="E9" s="64" t="s">
        <v>289</v>
      </c>
      <c r="F9" s="71" t="str">
        <f>IF(IFERROR(VLOOKUP(C9,Plan1!E:E,1,0),0)=0,"Não","Sim")</f>
        <v>Sim</v>
      </c>
    </row>
    <row r="10" spans="2:6" x14ac:dyDescent="0.2">
      <c r="B10" s="60" t="s">
        <v>34</v>
      </c>
      <c r="C10" s="60" t="s">
        <v>240</v>
      </c>
      <c r="D10" s="60" t="s">
        <v>127</v>
      </c>
      <c r="E10" s="60" t="s">
        <v>128</v>
      </c>
      <c r="F10" s="69" t="str">
        <f>IF(IFERROR(VLOOKUP(C10,Plan1!E:E,1,0),0)=0,"Não","Sim")</f>
        <v>Sim</v>
      </c>
    </row>
    <row r="11" spans="2:6" x14ac:dyDescent="0.2">
      <c r="B11" s="60" t="s">
        <v>34</v>
      </c>
      <c r="C11" s="60" t="s">
        <v>120</v>
      </c>
      <c r="D11" s="60" t="s">
        <v>121</v>
      </c>
      <c r="E11" s="60" t="s">
        <v>122</v>
      </c>
      <c r="F11" s="69" t="str">
        <f>IF(IFERROR(VLOOKUP(C11,Plan1!E:E,1,0),0)=0,"Não","Sim")</f>
        <v>Não</v>
      </c>
    </row>
    <row r="12" spans="2:6" x14ac:dyDescent="0.2">
      <c r="B12" s="60" t="s">
        <v>34</v>
      </c>
      <c r="C12" s="60" t="s">
        <v>56</v>
      </c>
      <c r="D12" s="60" t="s">
        <v>140</v>
      </c>
      <c r="E12" s="60" t="s">
        <v>154</v>
      </c>
      <c r="F12" s="69" t="str">
        <f>IF(IFERROR(VLOOKUP(C12,Plan1!E:E,1,0),0)=0,"Não","Sim")</f>
        <v>Sim</v>
      </c>
    </row>
    <row r="13" spans="2:6" x14ac:dyDescent="0.2">
      <c r="B13" s="60" t="s">
        <v>34</v>
      </c>
      <c r="C13" s="60" t="s">
        <v>126</v>
      </c>
      <c r="D13" s="60" t="s">
        <v>127</v>
      </c>
      <c r="E13" s="60" t="s">
        <v>128</v>
      </c>
      <c r="F13" s="69" t="str">
        <f>IF(IFERROR(VLOOKUP(C13,Plan1!E:E,1,0),0)=0,"Não","Sim")</f>
        <v>Não</v>
      </c>
    </row>
    <row r="14" spans="2:6" x14ac:dyDescent="0.2">
      <c r="B14" s="60" t="s">
        <v>34</v>
      </c>
      <c r="C14" s="60" t="s">
        <v>57</v>
      </c>
      <c r="D14" s="60" t="s">
        <v>127</v>
      </c>
      <c r="E14" s="60" t="s">
        <v>128</v>
      </c>
      <c r="F14" s="69" t="str">
        <f>IF(IFERROR(VLOOKUP(C14,Plan1!E:E,1,0),0)=0,"Não","Sim")</f>
        <v>Sim</v>
      </c>
    </row>
    <row r="15" spans="2:6" x14ac:dyDescent="0.2">
      <c r="B15" s="60" t="s">
        <v>34</v>
      </c>
      <c r="C15" s="60" t="s">
        <v>129</v>
      </c>
      <c r="D15" s="60" t="s">
        <v>127</v>
      </c>
      <c r="E15" s="60" t="s">
        <v>130</v>
      </c>
      <c r="F15" s="69" t="str">
        <f>IF(IFERROR(VLOOKUP(C15,Plan1!E:E,1,0),0)=0,"Não","Sim")</f>
        <v>Sim</v>
      </c>
    </row>
    <row r="16" spans="2:6" x14ac:dyDescent="0.2">
      <c r="B16" s="60" t="s">
        <v>34</v>
      </c>
      <c r="C16" s="60" t="s">
        <v>233</v>
      </c>
      <c r="D16" s="60" t="s">
        <v>121</v>
      </c>
      <c r="E16" s="60" t="s">
        <v>300</v>
      </c>
      <c r="F16" s="69" t="str">
        <f>IF(IFERROR(VLOOKUP(C16,Plan1!E:E,1,0),0)=0,"Não","Sim")</f>
        <v>Sim</v>
      </c>
    </row>
    <row r="17" spans="2:6" x14ac:dyDescent="0.2">
      <c r="B17" s="60" t="s">
        <v>34</v>
      </c>
      <c r="C17" s="60" t="s">
        <v>250</v>
      </c>
      <c r="D17" s="60" t="s">
        <v>140</v>
      </c>
      <c r="E17" s="60" t="s">
        <v>141</v>
      </c>
      <c r="F17" s="69" t="str">
        <f>IF(IFERROR(VLOOKUP(C17,Plan1!E:E,1,0),0)=0,"Não","Sim")</f>
        <v>Sim</v>
      </c>
    </row>
    <row r="18" spans="2:6" x14ac:dyDescent="0.2">
      <c r="B18" s="60" t="s">
        <v>34</v>
      </c>
      <c r="C18" s="60" t="s">
        <v>60</v>
      </c>
      <c r="D18" s="60" t="s">
        <v>121</v>
      </c>
      <c r="E18" s="60" t="s">
        <v>135</v>
      </c>
      <c r="F18" s="69" t="str">
        <f>IF(IFERROR(VLOOKUP(C18,Plan1!E:E,1,0),0)=0,"Não","Sim")</f>
        <v>Sim</v>
      </c>
    </row>
    <row r="19" spans="2:6" x14ac:dyDescent="0.2">
      <c r="B19" s="60" t="s">
        <v>34</v>
      </c>
      <c r="C19" s="60" t="s">
        <v>291</v>
      </c>
      <c r="D19" s="60" t="s">
        <v>121</v>
      </c>
      <c r="E19" s="60" t="s">
        <v>122</v>
      </c>
      <c r="F19" s="69" t="str">
        <f>IF(IFERROR(VLOOKUP(C19,Plan1!E:E,1,0),0)=0,"Não","Sim")</f>
        <v>Sim</v>
      </c>
    </row>
    <row r="20" spans="2:6" x14ac:dyDescent="0.2">
      <c r="B20" s="60" t="s">
        <v>34</v>
      </c>
      <c r="C20" s="60" t="s">
        <v>65</v>
      </c>
      <c r="D20" s="60" t="s">
        <v>121</v>
      </c>
      <c r="E20" s="60" t="s">
        <v>122</v>
      </c>
      <c r="F20" s="69" t="str">
        <f>IF(IFERROR(VLOOKUP(C20,Plan1!E:E,1,0),0)=0,"Não","Sim")</f>
        <v>Sim</v>
      </c>
    </row>
    <row r="21" spans="2:6" x14ac:dyDescent="0.2">
      <c r="B21" s="60" t="s">
        <v>34</v>
      </c>
      <c r="C21" s="60" t="s">
        <v>66</v>
      </c>
      <c r="D21" s="60" t="s">
        <v>121</v>
      </c>
      <c r="E21" s="60" t="s">
        <v>133</v>
      </c>
      <c r="F21" s="69" t="str">
        <f>IF(IFERROR(VLOOKUP(C21,Plan1!E:E,1,0),0)=0,"Não","Sim")</f>
        <v>Sim</v>
      </c>
    </row>
    <row r="22" spans="2:6" x14ac:dyDescent="0.2">
      <c r="B22" s="60" t="s">
        <v>34</v>
      </c>
      <c r="C22" s="60" t="s">
        <v>69</v>
      </c>
      <c r="D22" s="60" t="s">
        <v>140</v>
      </c>
      <c r="E22" s="60" t="s">
        <v>289</v>
      </c>
      <c r="F22" s="69" t="str">
        <f>IF(IFERROR(VLOOKUP(C22,Plan1!E:E,1,0),0)=0,"Não","Sim")</f>
        <v>Sim</v>
      </c>
    </row>
    <row r="23" spans="2:6" x14ac:dyDescent="0.2">
      <c r="B23" s="60" t="s">
        <v>34</v>
      </c>
      <c r="C23" s="60" t="s">
        <v>71</v>
      </c>
      <c r="D23" s="60" t="s">
        <v>121</v>
      </c>
      <c r="E23" s="60" t="s">
        <v>135</v>
      </c>
      <c r="F23" s="69" t="str">
        <f>IF(IFERROR(VLOOKUP(C23,Plan1!E:E,1,0),0)=0,"Não","Sim")</f>
        <v>Sim</v>
      </c>
    </row>
    <row r="24" spans="2:6" x14ac:dyDescent="0.2">
      <c r="B24" s="60" t="s">
        <v>34</v>
      </c>
      <c r="C24" s="60" t="s">
        <v>74</v>
      </c>
      <c r="D24" s="60" t="s">
        <v>121</v>
      </c>
      <c r="E24" s="60" t="s">
        <v>122</v>
      </c>
      <c r="F24" s="69" t="str">
        <f>IF(IFERROR(VLOOKUP(C24,Plan1!E:E,1,0),0)=0,"Não","Sim")</f>
        <v>Sim</v>
      </c>
    </row>
    <row r="25" spans="2:6" x14ac:dyDescent="0.2">
      <c r="B25" s="60" t="s">
        <v>34</v>
      </c>
      <c r="C25" s="60" t="s">
        <v>248</v>
      </c>
      <c r="D25" s="60" t="s">
        <v>140</v>
      </c>
      <c r="E25" s="60" t="s">
        <v>154</v>
      </c>
      <c r="F25" s="69" t="str">
        <f>IF(IFERROR(VLOOKUP(C25,Plan1!E:E,1,0),0)=0,"Não","Sim")</f>
        <v>Sim</v>
      </c>
    </row>
    <row r="26" spans="2:6" x14ac:dyDescent="0.2">
      <c r="B26" s="60" t="s">
        <v>34</v>
      </c>
      <c r="C26" s="60" t="s">
        <v>76</v>
      </c>
      <c r="D26" s="60" t="s">
        <v>121</v>
      </c>
      <c r="E26" s="60" t="s">
        <v>122</v>
      </c>
      <c r="F26" s="69" t="str">
        <f>IF(IFERROR(VLOOKUP(C26,Plan1!E:E,1,0),0)=0,"Não","Sim")</f>
        <v>Sim</v>
      </c>
    </row>
    <row r="27" spans="2:6" x14ac:dyDescent="0.2">
      <c r="B27" s="60" t="s">
        <v>34</v>
      </c>
      <c r="C27" s="60" t="s">
        <v>77</v>
      </c>
      <c r="D27" s="60" t="s">
        <v>121</v>
      </c>
      <c r="E27" s="60" t="s">
        <v>133</v>
      </c>
      <c r="F27" s="69" t="str">
        <f>IF(IFERROR(VLOOKUP(C27,Plan1!E:E,1,0),0)=0,"Não","Sim")</f>
        <v>Sim</v>
      </c>
    </row>
    <row r="28" spans="2:6" x14ac:dyDescent="0.2">
      <c r="B28" s="60" t="s">
        <v>34</v>
      </c>
      <c r="C28" s="60" t="s">
        <v>79</v>
      </c>
      <c r="D28" s="60" t="s">
        <v>140</v>
      </c>
      <c r="E28" s="60" t="s">
        <v>154</v>
      </c>
      <c r="F28" s="69" t="str">
        <f>IF(IFERROR(VLOOKUP(C28,Plan1!E:E,1,0),0)=0,"Não","Sim")</f>
        <v>Sim</v>
      </c>
    </row>
    <row r="29" spans="2:6" x14ac:dyDescent="0.2">
      <c r="B29" s="60" t="s">
        <v>34</v>
      </c>
      <c r="C29" s="60" t="s">
        <v>80</v>
      </c>
      <c r="D29" s="60" t="s">
        <v>140</v>
      </c>
      <c r="E29" s="60" t="s">
        <v>288</v>
      </c>
      <c r="F29" s="69" t="str">
        <f>IF(IFERROR(VLOOKUP(C29,Plan1!E:E,1,0),0)=0,"Não","Sim")</f>
        <v>Sim</v>
      </c>
    </row>
    <row r="30" spans="2:6" x14ac:dyDescent="0.2">
      <c r="B30" s="60" t="s">
        <v>34</v>
      </c>
      <c r="C30" s="60" t="s">
        <v>81</v>
      </c>
      <c r="D30" s="60" t="s">
        <v>140</v>
      </c>
      <c r="E30" s="60" t="s">
        <v>289</v>
      </c>
      <c r="F30" s="69" t="str">
        <f>IF(IFERROR(VLOOKUP(C30,Plan1!E:E,1,0),0)=0,"Não","Sim")</f>
        <v>Sim</v>
      </c>
    </row>
    <row r="31" spans="2:6" x14ac:dyDescent="0.2">
      <c r="B31" s="60" t="s">
        <v>34</v>
      </c>
      <c r="C31" s="60" t="s">
        <v>237</v>
      </c>
      <c r="D31" s="60" t="s">
        <v>127</v>
      </c>
      <c r="E31" s="60" t="s">
        <v>312</v>
      </c>
      <c r="F31" s="69" t="str">
        <f>IF(IFERROR(VLOOKUP(C31,Plan1!E:E,1,0),0)=0,"Não","Sim")</f>
        <v>Sim</v>
      </c>
    </row>
    <row r="32" spans="2:6" x14ac:dyDescent="0.2">
      <c r="B32" s="60" t="s">
        <v>34</v>
      </c>
      <c r="C32" s="60" t="s">
        <v>83</v>
      </c>
      <c r="D32" s="60" t="s">
        <v>121</v>
      </c>
      <c r="E32" s="60" t="s">
        <v>122</v>
      </c>
      <c r="F32" s="69" t="str">
        <f>IF(IFERROR(VLOOKUP(C32,Plan1!E:E,1,0),0)=0,"Não","Sim")</f>
        <v>Sim</v>
      </c>
    </row>
    <row r="33" spans="2:6" x14ac:dyDescent="0.2">
      <c r="B33" s="60" t="s">
        <v>34</v>
      </c>
      <c r="C33" s="60" t="s">
        <v>139</v>
      </c>
      <c r="D33" s="60" t="s">
        <v>140</v>
      </c>
      <c r="E33" s="60" t="s">
        <v>141</v>
      </c>
      <c r="F33" s="69" t="str">
        <f>IF(IFERROR(VLOOKUP(C33,Plan1!E:E,1,0),0)=0,"Não","Sim")</f>
        <v>Sim</v>
      </c>
    </row>
    <row r="34" spans="2:6" x14ac:dyDescent="0.2">
      <c r="B34" s="60" t="s">
        <v>34</v>
      </c>
      <c r="C34" s="60" t="s">
        <v>86</v>
      </c>
      <c r="D34" s="60" t="s">
        <v>127</v>
      </c>
      <c r="E34" s="60" t="s">
        <v>287</v>
      </c>
      <c r="F34" s="69" t="str">
        <f>IF(IFERROR(VLOOKUP(C34,Plan1!E:E,1,0),0)=0,"Não","Sim")</f>
        <v>Sim</v>
      </c>
    </row>
    <row r="35" spans="2:6" x14ac:dyDescent="0.2">
      <c r="B35" s="60" t="s">
        <v>34</v>
      </c>
      <c r="C35" s="60" t="s">
        <v>87</v>
      </c>
      <c r="D35" s="60" t="s">
        <v>140</v>
      </c>
      <c r="E35" s="60" t="s">
        <v>144</v>
      </c>
      <c r="F35" s="69" t="str">
        <f>IF(IFERROR(VLOOKUP(C35,Plan1!E:E,1,0),0)=0,"Não","Sim")</f>
        <v>Sim</v>
      </c>
    </row>
    <row r="36" spans="2:6" x14ac:dyDescent="0.2">
      <c r="B36" s="60" t="s">
        <v>34</v>
      </c>
      <c r="C36" s="60" t="s">
        <v>145</v>
      </c>
      <c r="D36" s="60" t="s">
        <v>140</v>
      </c>
      <c r="E36" s="60" t="s">
        <v>146</v>
      </c>
      <c r="F36" s="69" t="str">
        <f>IF(IFERROR(VLOOKUP(C36,Plan1!E:E,1,0),0)=0,"Não","Sim")</f>
        <v>Não</v>
      </c>
    </row>
    <row r="37" spans="2:6" x14ac:dyDescent="0.2">
      <c r="B37" s="60" t="s">
        <v>34</v>
      </c>
      <c r="C37" s="60" t="s">
        <v>147</v>
      </c>
      <c r="D37" s="60" t="s">
        <v>140</v>
      </c>
      <c r="E37" s="60" t="s">
        <v>146</v>
      </c>
      <c r="F37" s="69" t="str">
        <f>IF(IFERROR(VLOOKUP(C37,Plan1!E:E,1,0),0)=0,"Não","Sim")</f>
        <v>Não</v>
      </c>
    </row>
    <row r="38" spans="2:6" x14ac:dyDescent="0.2">
      <c r="B38" s="60" t="s">
        <v>34</v>
      </c>
      <c r="C38" s="60" t="s">
        <v>97</v>
      </c>
      <c r="D38" s="60" t="s">
        <v>127</v>
      </c>
      <c r="E38" s="60" t="s">
        <v>290</v>
      </c>
      <c r="F38" s="69" t="str">
        <f>IF(IFERROR(VLOOKUP(C38,Plan1!E:E,1,0),0)=0,"Não","Sim")</f>
        <v>Sim</v>
      </c>
    </row>
    <row r="39" spans="2:6" x14ac:dyDescent="0.2">
      <c r="B39" s="60" t="s">
        <v>34</v>
      </c>
      <c r="C39" s="60" t="s">
        <v>195</v>
      </c>
      <c r="D39" s="60" t="s">
        <v>127</v>
      </c>
      <c r="E39" s="60" t="s">
        <v>313</v>
      </c>
      <c r="F39" s="69" t="str">
        <f>IF(IFERROR(VLOOKUP(C39,Plan1!E:E,1,0),0)=0,"Não","Sim")</f>
        <v>Sim</v>
      </c>
    </row>
    <row r="40" spans="2:6" x14ac:dyDescent="0.2">
      <c r="B40" s="60" t="s">
        <v>34</v>
      </c>
      <c r="C40" s="60" t="s">
        <v>262</v>
      </c>
      <c r="D40" s="60" t="s">
        <v>140</v>
      </c>
      <c r="E40" s="60" t="s">
        <v>288</v>
      </c>
      <c r="F40" s="69" t="str">
        <f>IF(IFERROR(VLOOKUP(C40,Plan1!E:E,1,0),0)=0,"Não","Sim")</f>
        <v>Sim</v>
      </c>
    </row>
    <row r="41" spans="2:6" x14ac:dyDescent="0.2">
      <c r="B41" s="60" t="s">
        <v>34</v>
      </c>
      <c r="C41" s="60" t="s">
        <v>104</v>
      </c>
      <c r="D41" s="60" t="s">
        <v>121</v>
      </c>
      <c r="E41" s="60" t="s">
        <v>122</v>
      </c>
      <c r="F41" s="69" t="str">
        <f>IF(IFERROR(VLOOKUP(C41,Plan1!E:E,1,0),0)=0,"Não","Sim")</f>
        <v>Sim</v>
      </c>
    </row>
    <row r="42" spans="2:6" x14ac:dyDescent="0.2">
      <c r="B42" s="60" t="s">
        <v>34</v>
      </c>
      <c r="C42" s="60" t="s">
        <v>226</v>
      </c>
      <c r="D42" s="60" t="s">
        <v>140</v>
      </c>
      <c r="E42" s="60" t="s">
        <v>289</v>
      </c>
      <c r="F42" s="69" t="str">
        <f>IF(IFERROR(VLOOKUP(C42,Plan1!E:E,1,0),0)=0,"Não","Sim")</f>
        <v>Sim</v>
      </c>
    </row>
    <row r="43" spans="2:6" x14ac:dyDescent="0.2">
      <c r="B43" s="60" t="s">
        <v>34</v>
      </c>
      <c r="C43" s="60" t="s">
        <v>106</v>
      </c>
      <c r="D43" s="60" t="s">
        <v>127</v>
      </c>
      <c r="E43" s="60" t="s">
        <v>128</v>
      </c>
      <c r="F43" s="69" t="str">
        <f>IF(IFERROR(VLOOKUP(C43,Plan1!E:E,1,0),0)=0,"Não","Sim")</f>
        <v>Sim</v>
      </c>
    </row>
    <row r="44" spans="2:6" x14ac:dyDescent="0.2">
      <c r="B44" s="60" t="s">
        <v>34</v>
      </c>
      <c r="C44" s="60" t="s">
        <v>111</v>
      </c>
      <c r="D44" s="60" t="s">
        <v>140</v>
      </c>
      <c r="E44" s="60" t="s">
        <v>154</v>
      </c>
      <c r="F44" s="69" t="str">
        <f>IF(IFERROR(VLOOKUP(C44,Plan1!E:E,1,0),0)=0,"Não","Sim")</f>
        <v>Sim</v>
      </c>
    </row>
    <row r="45" spans="2:6" x14ac:dyDescent="0.2">
      <c r="B45" s="60" t="s">
        <v>34</v>
      </c>
      <c r="C45" s="60" t="s">
        <v>116</v>
      </c>
      <c r="D45" s="60" t="s">
        <v>127</v>
      </c>
      <c r="E45" s="60" t="s">
        <v>128</v>
      </c>
      <c r="F45" s="69" t="str">
        <f>IF(IFERROR(VLOOKUP(C45,Plan1!E:E,1,0),0)=0,"Não","Sim")</f>
        <v>Sim</v>
      </c>
    </row>
    <row r="46" spans="2:6" ht="13.5" thickBot="1" x14ac:dyDescent="0.25">
      <c r="B46" s="67" t="s">
        <v>34</v>
      </c>
      <c r="C46" s="67" t="s">
        <v>227</v>
      </c>
      <c r="D46" s="67" t="s">
        <v>140</v>
      </c>
      <c r="E46" s="67" t="s">
        <v>289</v>
      </c>
      <c r="F46" s="70" t="str">
        <f>IF(IFERROR(VLOOKUP(C46,Plan1!E:E,1,0),0)=0,"Não","Sim")</f>
        <v>Sim</v>
      </c>
    </row>
    <row r="47" spans="2:6" x14ac:dyDescent="0.2">
      <c r="B47" s="64" t="s">
        <v>35</v>
      </c>
      <c r="C47" s="64" t="s">
        <v>51</v>
      </c>
      <c r="D47" s="64" t="s">
        <v>124</v>
      </c>
      <c r="E47" s="64" t="s">
        <v>125</v>
      </c>
      <c r="F47" s="71" t="str">
        <f>IF(IFERROR(VLOOKUP(C47,Plan1!E:E,1,0),0)=0,"Não","Sim")</f>
        <v>Sim</v>
      </c>
    </row>
    <row r="48" spans="2:6" x14ac:dyDescent="0.2">
      <c r="B48" s="64" t="s">
        <v>35</v>
      </c>
      <c r="C48" s="64" t="s">
        <v>52</v>
      </c>
      <c r="D48" s="64" t="s">
        <v>131</v>
      </c>
      <c r="E48" s="64" t="s">
        <v>134</v>
      </c>
      <c r="F48" s="71" t="str">
        <f>IF(IFERROR(VLOOKUP(C48,Plan1!E:E,1,0),0)=0,"Não","Sim")</f>
        <v>Sim</v>
      </c>
    </row>
    <row r="49" spans="2:6" x14ac:dyDescent="0.2">
      <c r="B49" s="60" t="s">
        <v>35</v>
      </c>
      <c r="C49" s="60" t="s">
        <v>53</v>
      </c>
      <c r="D49" s="60" t="s">
        <v>131</v>
      </c>
      <c r="E49" s="60" t="s">
        <v>143</v>
      </c>
      <c r="F49" s="69" t="str">
        <f>IF(IFERROR(VLOOKUP(C49,Plan1!E:E,1,0),0)=0,"Não","Sim")</f>
        <v>Sim</v>
      </c>
    </row>
    <row r="50" spans="2:6" x14ac:dyDescent="0.2">
      <c r="B50" s="60" t="s">
        <v>35</v>
      </c>
      <c r="C50" s="60" t="s">
        <v>123</v>
      </c>
      <c r="D50" s="60" t="s">
        <v>124</v>
      </c>
      <c r="E50" s="60" t="s">
        <v>125</v>
      </c>
      <c r="F50" s="69" t="str">
        <f>IF(IFERROR(VLOOKUP(C50,Plan1!E:E,1,0),0)=0,"Não","Sim")</f>
        <v>Não</v>
      </c>
    </row>
    <row r="51" spans="2:6" x14ac:dyDescent="0.2">
      <c r="B51" s="60" t="s">
        <v>35</v>
      </c>
      <c r="C51" s="60" t="s">
        <v>54</v>
      </c>
      <c r="D51" s="60" t="s">
        <v>131</v>
      </c>
      <c r="E51" s="60" t="s">
        <v>134</v>
      </c>
      <c r="F51" s="69" t="str">
        <f>IF(IFERROR(VLOOKUP(C51,Plan1!E:E,1,0),0)=0,"Não","Sim")</f>
        <v>Sim</v>
      </c>
    </row>
    <row r="52" spans="2:6" x14ac:dyDescent="0.2">
      <c r="B52" s="60" t="s">
        <v>35</v>
      </c>
      <c r="C52" s="60" t="s">
        <v>55</v>
      </c>
      <c r="D52" s="60" t="s">
        <v>131</v>
      </c>
      <c r="E52" s="60" t="s">
        <v>134</v>
      </c>
      <c r="F52" s="69" t="str">
        <f>IF(IFERROR(VLOOKUP(C52,Plan1!E:E,1,0),0)=0,"Não","Sim")</f>
        <v>Sim</v>
      </c>
    </row>
    <row r="53" spans="2:6" x14ac:dyDescent="0.2">
      <c r="B53" s="60" t="s">
        <v>35</v>
      </c>
      <c r="C53" s="60" t="s">
        <v>172</v>
      </c>
      <c r="D53" s="60" t="s">
        <v>131</v>
      </c>
      <c r="E53" s="60" t="s">
        <v>134</v>
      </c>
      <c r="F53" s="69" t="str">
        <f>IF(IFERROR(VLOOKUP(C53,Plan1!E:E,1,0),0)=0,"Não","Sim")</f>
        <v>Sim</v>
      </c>
    </row>
    <row r="54" spans="2:6" x14ac:dyDescent="0.2">
      <c r="B54" s="60" t="s">
        <v>35</v>
      </c>
      <c r="C54" s="60" t="s">
        <v>157</v>
      </c>
      <c r="D54" s="60" t="s">
        <v>131</v>
      </c>
      <c r="E54" s="60" t="s">
        <v>134</v>
      </c>
      <c r="F54" s="69" t="str">
        <f>IF(IFERROR(VLOOKUP(C54,Plan1!E:E,1,0),0)=0,"Não","Sim")</f>
        <v>Sim</v>
      </c>
    </row>
    <row r="55" spans="2:6" x14ac:dyDescent="0.2">
      <c r="B55" s="60" t="s">
        <v>35</v>
      </c>
      <c r="C55" s="60" t="s">
        <v>58</v>
      </c>
      <c r="D55" s="60" t="s">
        <v>124</v>
      </c>
      <c r="E55" s="60" t="s">
        <v>298</v>
      </c>
      <c r="F55" s="69" t="str">
        <f>IF(IFERROR(VLOOKUP(C55,Plan1!E:E,1,0),0)=0,"Não","Sim")</f>
        <v>Sim</v>
      </c>
    </row>
    <row r="56" spans="2:6" x14ac:dyDescent="0.2">
      <c r="B56" s="60" t="s">
        <v>35</v>
      </c>
      <c r="C56" s="60" t="s">
        <v>59</v>
      </c>
      <c r="D56" s="60" t="s">
        <v>124</v>
      </c>
      <c r="E56" s="60" t="s">
        <v>148</v>
      </c>
      <c r="F56" s="69" t="str">
        <f>IF(IFERROR(VLOOKUP(C56,Plan1!E:E,1,0),0)=0,"Não","Sim")</f>
        <v>Sim</v>
      </c>
    </row>
    <row r="57" spans="2:6" x14ac:dyDescent="0.2">
      <c r="B57" s="60" t="s">
        <v>35</v>
      </c>
      <c r="C57" s="60" t="s">
        <v>179</v>
      </c>
      <c r="D57" s="60" t="s">
        <v>131</v>
      </c>
      <c r="E57" s="60" t="s">
        <v>134</v>
      </c>
      <c r="F57" s="69" t="str">
        <f>IF(IFERROR(VLOOKUP(C57,Plan1!E:E,1,0),0)=0,"Não","Sim")</f>
        <v>Sim</v>
      </c>
    </row>
    <row r="58" spans="2:6" x14ac:dyDescent="0.2">
      <c r="B58" s="60" t="s">
        <v>35</v>
      </c>
      <c r="C58" s="60" t="s">
        <v>61</v>
      </c>
      <c r="D58" s="60" t="s">
        <v>131</v>
      </c>
      <c r="E58" s="60" t="s">
        <v>132</v>
      </c>
      <c r="F58" s="69" t="str">
        <f>IF(IFERROR(VLOOKUP(C58,Plan1!E:E,1,0),0)=0,"Não","Sim")</f>
        <v>Sim</v>
      </c>
    </row>
    <row r="59" spans="2:6" x14ac:dyDescent="0.2">
      <c r="B59" s="60" t="s">
        <v>35</v>
      </c>
      <c r="C59" s="60" t="s">
        <v>62</v>
      </c>
      <c r="D59" s="60" t="s">
        <v>124</v>
      </c>
      <c r="E59" s="60" t="s">
        <v>148</v>
      </c>
      <c r="F59" s="69" t="str">
        <f>IF(IFERROR(VLOOKUP(C59,Plan1!E:E,1,0),0)=0,"Não","Sim")</f>
        <v>Sim</v>
      </c>
    </row>
    <row r="60" spans="2:6" x14ac:dyDescent="0.2">
      <c r="B60" s="60" t="s">
        <v>35</v>
      </c>
      <c r="C60" s="60" t="s">
        <v>63</v>
      </c>
      <c r="D60" s="60" t="s">
        <v>124</v>
      </c>
      <c r="E60" s="60" t="s">
        <v>125</v>
      </c>
      <c r="F60" s="69" t="str">
        <f>IF(IFERROR(VLOOKUP(C60,Plan1!E:E,1,0),0)=0,"Não","Sim")</f>
        <v>Sim</v>
      </c>
    </row>
    <row r="61" spans="2:6" x14ac:dyDescent="0.2">
      <c r="B61" s="60" t="s">
        <v>35</v>
      </c>
      <c r="C61" s="60" t="s">
        <v>64</v>
      </c>
      <c r="D61" s="60" t="s">
        <v>124</v>
      </c>
      <c r="E61" s="60" t="s">
        <v>298</v>
      </c>
      <c r="F61" s="69" t="str">
        <f>IF(IFERROR(VLOOKUP(C61,Plan1!E:E,1,0),0)=0,"Não","Sim")</f>
        <v>Sim</v>
      </c>
    </row>
    <row r="62" spans="2:6" x14ac:dyDescent="0.2">
      <c r="B62" s="60" t="s">
        <v>35</v>
      </c>
      <c r="C62" s="60" t="s">
        <v>67</v>
      </c>
      <c r="D62" s="60" t="s">
        <v>124</v>
      </c>
      <c r="E62" s="60" t="s">
        <v>125</v>
      </c>
      <c r="F62" s="69" t="str">
        <f>IF(IFERROR(VLOOKUP(C62,Plan1!E:E,1,0),0)=0,"Não","Sim")</f>
        <v>Sim</v>
      </c>
    </row>
    <row r="63" spans="2:6" x14ac:dyDescent="0.2">
      <c r="B63" s="60" t="s">
        <v>35</v>
      </c>
      <c r="C63" s="60" t="s">
        <v>70</v>
      </c>
      <c r="D63" s="60" t="s">
        <v>124</v>
      </c>
      <c r="E63" s="60" t="s">
        <v>148</v>
      </c>
      <c r="F63" s="69" t="str">
        <f>IF(IFERROR(VLOOKUP(C63,Plan1!E:E,1,0),0)=0,"Não","Sim")</f>
        <v>Sim</v>
      </c>
    </row>
    <row r="64" spans="2:6" x14ac:dyDescent="0.2">
      <c r="B64" s="60" t="s">
        <v>35</v>
      </c>
      <c r="C64" s="60" t="s">
        <v>72</v>
      </c>
      <c r="D64" s="60" t="s">
        <v>131</v>
      </c>
      <c r="E64" s="60" t="s">
        <v>134</v>
      </c>
      <c r="F64" s="69" t="str">
        <f>IF(IFERROR(VLOOKUP(C64,Plan1!E:E,1,0),0)=0,"Não","Sim")</f>
        <v>Sim</v>
      </c>
    </row>
    <row r="65" spans="2:6" x14ac:dyDescent="0.2">
      <c r="B65" s="60" t="s">
        <v>35</v>
      </c>
      <c r="C65" s="60" t="s">
        <v>73</v>
      </c>
      <c r="D65" s="60" t="s">
        <v>124</v>
      </c>
      <c r="E65" s="60" t="s">
        <v>125</v>
      </c>
      <c r="F65" s="69" t="str">
        <f>IF(IFERROR(VLOOKUP(C65,Plan1!E:E,1,0),0)=0,"Não","Sim")</f>
        <v>Sim</v>
      </c>
    </row>
    <row r="66" spans="2:6" x14ac:dyDescent="0.2">
      <c r="B66" s="60" t="s">
        <v>35</v>
      </c>
      <c r="C66" s="60" t="s">
        <v>136</v>
      </c>
      <c r="D66" s="60" t="s">
        <v>124</v>
      </c>
      <c r="E66" s="60" t="s">
        <v>125</v>
      </c>
      <c r="F66" s="69" t="str">
        <f>IF(IFERROR(VLOOKUP(C66,Plan1!E:E,1,0),0)=0,"Não","Sim")</f>
        <v>Não</v>
      </c>
    </row>
    <row r="67" spans="2:6" x14ac:dyDescent="0.2">
      <c r="B67" s="60" t="s">
        <v>35</v>
      </c>
      <c r="C67" s="60" t="s">
        <v>181</v>
      </c>
      <c r="D67" s="60" t="s">
        <v>131</v>
      </c>
      <c r="E67" s="60" t="s">
        <v>134</v>
      </c>
      <c r="F67" s="69" t="str">
        <f>IF(IFERROR(VLOOKUP(C67,Plan1!E:E,1,0),0)=0,"Não","Sim")</f>
        <v>Sim</v>
      </c>
    </row>
    <row r="68" spans="2:6" x14ac:dyDescent="0.2">
      <c r="B68" s="60" t="s">
        <v>35</v>
      </c>
      <c r="C68" s="60" t="s">
        <v>304</v>
      </c>
      <c r="D68" s="60" t="s">
        <v>131</v>
      </c>
      <c r="E68" s="60" t="s">
        <v>134</v>
      </c>
      <c r="F68" s="69" t="str">
        <f>IF(IFERROR(VLOOKUP(C68,Plan1!E:E,1,0),0)=0,"Não","Sim")</f>
        <v>Sim</v>
      </c>
    </row>
    <row r="69" spans="2:6" x14ac:dyDescent="0.2">
      <c r="B69" s="60" t="s">
        <v>35</v>
      </c>
      <c r="C69" s="60" t="s">
        <v>78</v>
      </c>
      <c r="D69" s="60" t="s">
        <v>131</v>
      </c>
      <c r="E69" s="60" t="s">
        <v>132</v>
      </c>
      <c r="F69" s="69" t="str">
        <f>IF(IFERROR(VLOOKUP(C69,Plan1!E:E,1,0),0)=0,"Não","Sim")</f>
        <v>Sim</v>
      </c>
    </row>
    <row r="70" spans="2:6" x14ac:dyDescent="0.2">
      <c r="B70" s="60" t="s">
        <v>35</v>
      </c>
      <c r="C70" s="60" t="s">
        <v>293</v>
      </c>
      <c r="D70" s="60" t="s">
        <v>131</v>
      </c>
      <c r="E70" s="60" t="s">
        <v>134</v>
      </c>
      <c r="F70" s="69" t="str">
        <f>IF(IFERROR(VLOOKUP(C70,Plan1!E:E,1,0),0)=0,"Não","Sim")</f>
        <v>Sim</v>
      </c>
    </row>
    <row r="71" spans="2:6" x14ac:dyDescent="0.2">
      <c r="B71" s="60" t="s">
        <v>35</v>
      </c>
      <c r="C71" s="60" t="s">
        <v>82</v>
      </c>
      <c r="D71" s="60" t="s">
        <v>131</v>
      </c>
      <c r="E71" s="60" t="s">
        <v>134</v>
      </c>
      <c r="F71" s="69" t="str">
        <f>IF(IFERROR(VLOOKUP(C71,Plan1!E:E,1,0),0)=0,"Não","Sim")</f>
        <v>Sim</v>
      </c>
    </row>
    <row r="72" spans="2:6" x14ac:dyDescent="0.2">
      <c r="B72" s="60" t="s">
        <v>35</v>
      </c>
      <c r="C72" s="60" t="s">
        <v>294</v>
      </c>
      <c r="D72" s="60" t="s">
        <v>131</v>
      </c>
      <c r="E72" s="60" t="s">
        <v>134</v>
      </c>
      <c r="F72" s="69" t="str">
        <f>IF(IFERROR(VLOOKUP(C72,Plan1!E:E,1,0),0)=0,"Não","Sim")</f>
        <v>Sim</v>
      </c>
    </row>
    <row r="73" spans="2:6" x14ac:dyDescent="0.2">
      <c r="B73" s="60" t="s">
        <v>35</v>
      </c>
      <c r="C73" s="60" t="s">
        <v>158</v>
      </c>
      <c r="D73" s="60" t="s">
        <v>131</v>
      </c>
      <c r="E73" s="60" t="s">
        <v>134</v>
      </c>
      <c r="F73" s="69" t="str">
        <f>IF(IFERROR(VLOOKUP(C73,Plan1!E:E,1,0),0)=0,"Não","Sim")</f>
        <v>Sim</v>
      </c>
    </row>
    <row r="74" spans="2:6" x14ac:dyDescent="0.2">
      <c r="B74" s="60" t="s">
        <v>35</v>
      </c>
      <c r="C74" s="60" t="s">
        <v>84</v>
      </c>
      <c r="D74" s="60" t="s">
        <v>124</v>
      </c>
      <c r="E74" s="60" t="s">
        <v>148</v>
      </c>
      <c r="F74" s="69" t="str">
        <f>IF(IFERROR(VLOOKUP(C74,Plan1!E:E,1,0),0)=0,"Não","Sim")</f>
        <v>Sim</v>
      </c>
    </row>
    <row r="75" spans="2:6" x14ac:dyDescent="0.2">
      <c r="B75" s="60" t="s">
        <v>35</v>
      </c>
      <c r="C75" s="60" t="s">
        <v>137</v>
      </c>
      <c r="D75" s="60" t="s">
        <v>131</v>
      </c>
      <c r="E75" s="60" t="s">
        <v>138</v>
      </c>
      <c r="F75" s="69" t="str">
        <f>IF(IFERROR(VLOOKUP(C75,Plan1!E:E,1,0),0)=0,"Não","Sim")</f>
        <v>Não</v>
      </c>
    </row>
    <row r="76" spans="2:6" x14ac:dyDescent="0.2">
      <c r="B76" s="60" t="s">
        <v>35</v>
      </c>
      <c r="C76" s="60" t="s">
        <v>142</v>
      </c>
      <c r="D76" s="60" t="s">
        <v>131</v>
      </c>
      <c r="E76" s="60" t="s">
        <v>143</v>
      </c>
      <c r="F76" s="69" t="str">
        <f>IF(IFERROR(VLOOKUP(C76,Plan1!E:E,1,0),0)=0,"Não","Sim")</f>
        <v>Sim</v>
      </c>
    </row>
    <row r="77" spans="2:6" x14ac:dyDescent="0.2">
      <c r="B77" s="60" t="s">
        <v>35</v>
      </c>
      <c r="C77" s="60" t="s">
        <v>85</v>
      </c>
      <c r="D77" s="60" t="s">
        <v>131</v>
      </c>
      <c r="E77" s="60" t="s">
        <v>134</v>
      </c>
      <c r="F77" s="69" t="str">
        <f>IF(IFERROR(VLOOKUP(C77,Plan1!E:E,1,0),0)=0,"Não","Sim")</f>
        <v>Sim</v>
      </c>
    </row>
    <row r="78" spans="2:6" x14ac:dyDescent="0.2">
      <c r="B78" s="60" t="s">
        <v>35</v>
      </c>
      <c r="C78" s="60" t="s">
        <v>295</v>
      </c>
      <c r="D78" s="60" t="s">
        <v>131</v>
      </c>
      <c r="E78" s="60" t="s">
        <v>134</v>
      </c>
      <c r="F78" s="69" t="str">
        <f>IF(IFERROR(VLOOKUP(C78,Plan1!E:E,1,0),0)=0,"Não","Sim")</f>
        <v>Sim</v>
      </c>
    </row>
    <row r="79" spans="2:6" x14ac:dyDescent="0.2">
      <c r="B79" s="60" t="s">
        <v>35</v>
      </c>
      <c r="C79" s="60" t="s">
        <v>217</v>
      </c>
      <c r="D79" s="60" t="s">
        <v>131</v>
      </c>
      <c r="E79" s="60" t="s">
        <v>125</v>
      </c>
      <c r="F79" s="69" t="str">
        <f>IF(IFERROR(VLOOKUP(C79,Plan1!E:E,1,0),0)=0,"Não","Sim")</f>
        <v>Sim</v>
      </c>
    </row>
    <row r="80" spans="2:6" x14ac:dyDescent="0.2">
      <c r="B80" s="60" t="s">
        <v>35</v>
      </c>
      <c r="C80" s="60" t="s">
        <v>208</v>
      </c>
      <c r="D80" s="60" t="s">
        <v>131</v>
      </c>
      <c r="E80" s="60" t="s">
        <v>138</v>
      </c>
      <c r="F80" s="69" t="str">
        <f>IF(IFERROR(VLOOKUP(C80,Plan1!E:E,1,0),0)=0,"Não","Sim")</f>
        <v>Sim</v>
      </c>
    </row>
    <row r="81" spans="2:6" x14ac:dyDescent="0.2">
      <c r="B81" s="60" t="s">
        <v>35</v>
      </c>
      <c r="C81" s="60" t="s">
        <v>88</v>
      </c>
      <c r="D81" s="60" t="s">
        <v>131</v>
      </c>
      <c r="E81" s="60" t="s">
        <v>134</v>
      </c>
      <c r="F81" s="69" t="str">
        <f>IF(IFERROR(VLOOKUP(C81,Plan1!E:E,1,0),0)=0,"Não","Sim")</f>
        <v>Sim</v>
      </c>
    </row>
    <row r="82" spans="2:6" x14ac:dyDescent="0.2">
      <c r="B82" s="60" t="s">
        <v>35</v>
      </c>
      <c r="C82" s="60" t="s">
        <v>89</v>
      </c>
      <c r="D82" s="60" t="s">
        <v>131</v>
      </c>
      <c r="E82" s="60" t="s">
        <v>134</v>
      </c>
      <c r="F82" s="69" t="str">
        <f>IF(IFERROR(VLOOKUP(C82,Plan1!E:E,1,0),0)=0,"Não","Sim")</f>
        <v>Sim</v>
      </c>
    </row>
    <row r="83" spans="2:6" x14ac:dyDescent="0.2">
      <c r="B83" s="60" t="s">
        <v>35</v>
      </c>
      <c r="C83" s="60" t="s">
        <v>90</v>
      </c>
      <c r="D83" s="60" t="s">
        <v>124</v>
      </c>
      <c r="E83" s="60" t="s">
        <v>298</v>
      </c>
      <c r="F83" s="69" t="str">
        <f>IF(IFERROR(VLOOKUP(C83,Plan1!E:E,1,0),0)=0,"Não","Sim")</f>
        <v>Sim</v>
      </c>
    </row>
    <row r="84" spans="2:6" x14ac:dyDescent="0.2">
      <c r="B84" s="60" t="s">
        <v>35</v>
      </c>
      <c r="C84" s="60" t="s">
        <v>91</v>
      </c>
      <c r="D84" s="60" t="s">
        <v>131</v>
      </c>
      <c r="E84" s="60" t="s">
        <v>143</v>
      </c>
      <c r="F84" s="69" t="str">
        <f>IF(IFERROR(VLOOKUP(C84,Plan1!E:E,1,0),0)=0,"Não","Sim")</f>
        <v>Sim</v>
      </c>
    </row>
    <row r="85" spans="2:6" x14ac:dyDescent="0.2">
      <c r="B85" s="60" t="s">
        <v>35</v>
      </c>
      <c r="C85" s="60" t="s">
        <v>92</v>
      </c>
      <c r="D85" s="60" t="s">
        <v>131</v>
      </c>
      <c r="E85" s="60" t="s">
        <v>134</v>
      </c>
      <c r="F85" s="69" t="str">
        <f>IF(IFERROR(VLOOKUP(C85,Plan1!E:E,1,0),0)=0,"Não","Sim")</f>
        <v>Sim</v>
      </c>
    </row>
    <row r="86" spans="2:6" x14ac:dyDescent="0.2">
      <c r="B86" s="60" t="s">
        <v>35</v>
      </c>
      <c r="C86" s="60" t="s">
        <v>93</v>
      </c>
      <c r="D86" s="60" t="s">
        <v>131</v>
      </c>
      <c r="E86" s="60" t="s">
        <v>138</v>
      </c>
      <c r="F86" s="69" t="str">
        <f>IF(IFERROR(VLOOKUP(C86,Plan1!E:E,1,0),0)=0,"Não","Sim")</f>
        <v>Sim</v>
      </c>
    </row>
    <row r="87" spans="2:6" x14ac:dyDescent="0.2">
      <c r="B87" s="60" t="s">
        <v>35</v>
      </c>
      <c r="C87" s="60" t="s">
        <v>94</v>
      </c>
      <c r="D87" s="60" t="s">
        <v>131</v>
      </c>
      <c r="E87" s="60" t="s">
        <v>138</v>
      </c>
      <c r="F87" s="69" t="str">
        <f>IF(IFERROR(VLOOKUP(C87,Plan1!E:E,1,0),0)=0,"Não","Sim")</f>
        <v>Sim</v>
      </c>
    </row>
    <row r="88" spans="2:6" x14ac:dyDescent="0.2">
      <c r="B88" s="60" t="s">
        <v>35</v>
      </c>
      <c r="C88" s="60" t="s">
        <v>95</v>
      </c>
      <c r="D88" s="60" t="s">
        <v>131</v>
      </c>
      <c r="E88" s="60" t="s">
        <v>134</v>
      </c>
      <c r="F88" s="69" t="str">
        <f>IF(IFERROR(VLOOKUP(C88,Plan1!E:E,1,0),0)=0,"Não","Sim")</f>
        <v>Sim</v>
      </c>
    </row>
    <row r="89" spans="2:6" x14ac:dyDescent="0.2">
      <c r="B89" s="60" t="s">
        <v>35</v>
      </c>
      <c r="C89" s="60" t="s">
        <v>96</v>
      </c>
      <c r="D89" s="60" t="s">
        <v>131</v>
      </c>
      <c r="E89" s="60" t="s">
        <v>134</v>
      </c>
      <c r="F89" s="69" t="str">
        <f>IF(IFERROR(VLOOKUP(C89,Plan1!E:E,1,0),0)=0,"Não","Sim")</f>
        <v>Sim</v>
      </c>
    </row>
    <row r="90" spans="2:6" x14ac:dyDescent="0.2">
      <c r="B90" s="60" t="s">
        <v>35</v>
      </c>
      <c r="C90" s="60" t="s">
        <v>98</v>
      </c>
      <c r="D90" s="60" t="s">
        <v>131</v>
      </c>
      <c r="E90" s="60" t="s">
        <v>134</v>
      </c>
      <c r="F90" s="69" t="str">
        <f>IF(IFERROR(VLOOKUP(C90,Plan1!E:E,1,0),0)=0,"Não","Sim")</f>
        <v>Sim</v>
      </c>
    </row>
    <row r="91" spans="2:6" x14ac:dyDescent="0.2">
      <c r="B91" s="60" t="s">
        <v>35</v>
      </c>
      <c r="C91" s="60" t="s">
        <v>99</v>
      </c>
      <c r="D91" s="60" t="s">
        <v>124</v>
      </c>
      <c r="E91" s="60" t="s">
        <v>148</v>
      </c>
      <c r="F91" s="69" t="str">
        <f>IF(IFERROR(VLOOKUP(C91,Plan1!E:E,1,0),0)=0,"Não","Sim")</f>
        <v>Sim</v>
      </c>
    </row>
    <row r="92" spans="2:6" x14ac:dyDescent="0.2">
      <c r="B92" s="60" t="s">
        <v>35</v>
      </c>
      <c r="C92" s="60" t="s">
        <v>100</v>
      </c>
      <c r="D92" s="60" t="s">
        <v>131</v>
      </c>
      <c r="E92" s="60" t="s">
        <v>143</v>
      </c>
      <c r="F92" s="69" t="str">
        <f>IF(IFERROR(VLOOKUP(C92,Plan1!E:E,1,0),0)=0,"Não","Sim")</f>
        <v>Sim</v>
      </c>
    </row>
    <row r="93" spans="2:6" x14ac:dyDescent="0.2">
      <c r="B93" s="60" t="s">
        <v>35</v>
      </c>
      <c r="C93" s="60" t="s">
        <v>307</v>
      </c>
      <c r="D93" s="60" t="s">
        <v>131</v>
      </c>
      <c r="E93" s="60" t="s">
        <v>134</v>
      </c>
      <c r="F93" s="69" t="str">
        <f>IF(IFERROR(VLOOKUP(C93,Plan1!E:E,1,0),0)=0,"Não","Sim")</f>
        <v>Sim</v>
      </c>
    </row>
    <row r="94" spans="2:6" x14ac:dyDescent="0.2">
      <c r="B94" s="60" t="s">
        <v>35</v>
      </c>
      <c r="C94" s="60" t="s">
        <v>207</v>
      </c>
      <c r="D94" s="60" t="s">
        <v>131</v>
      </c>
      <c r="E94" s="60" t="s">
        <v>138</v>
      </c>
      <c r="F94" s="69" t="str">
        <f>IF(IFERROR(VLOOKUP(C94,Plan1!E:E,1,0),0)=0,"Não","Sim")</f>
        <v>Sim</v>
      </c>
    </row>
    <row r="95" spans="2:6" x14ac:dyDescent="0.2">
      <c r="B95" s="60" t="s">
        <v>35</v>
      </c>
      <c r="C95" s="60" t="s">
        <v>101</v>
      </c>
      <c r="D95" s="60" t="s">
        <v>131</v>
      </c>
      <c r="E95" s="60" t="s">
        <v>134</v>
      </c>
      <c r="F95" s="69" t="str">
        <f>IF(IFERROR(VLOOKUP(C95,Plan1!E:E,1,0),0)=0,"Não","Sim")</f>
        <v>Sim</v>
      </c>
    </row>
    <row r="96" spans="2:6" x14ac:dyDescent="0.2">
      <c r="B96" s="60" t="s">
        <v>35</v>
      </c>
      <c r="C96" s="60" t="s">
        <v>149</v>
      </c>
      <c r="D96" s="60" t="s">
        <v>131</v>
      </c>
      <c r="E96" s="60" t="s">
        <v>134</v>
      </c>
      <c r="F96" s="69" t="str">
        <f>IF(IFERROR(VLOOKUP(C96,Plan1!E:E,1,0),0)=0,"Não","Sim")</f>
        <v>Não</v>
      </c>
    </row>
    <row r="97" spans="2:6" x14ac:dyDescent="0.2">
      <c r="B97" s="60" t="s">
        <v>35</v>
      </c>
      <c r="C97" s="60" t="s">
        <v>150</v>
      </c>
      <c r="D97" s="60" t="s">
        <v>131</v>
      </c>
      <c r="E97" s="60" t="s">
        <v>134</v>
      </c>
      <c r="F97" s="69" t="str">
        <f>IF(IFERROR(VLOOKUP(C97,Plan1!E:E,1,0),0)=0,"Não","Sim")</f>
        <v>Sim</v>
      </c>
    </row>
    <row r="98" spans="2:6" x14ac:dyDescent="0.2">
      <c r="B98" s="60" t="s">
        <v>35</v>
      </c>
      <c r="C98" s="60" t="s">
        <v>152</v>
      </c>
      <c r="D98" s="60" t="s">
        <v>124</v>
      </c>
      <c r="E98" s="60" t="s">
        <v>148</v>
      </c>
      <c r="F98" s="69" t="str">
        <f>IF(IFERROR(VLOOKUP(C98,Plan1!E:E,1,0),0)=0,"Não","Sim")</f>
        <v>Sim</v>
      </c>
    </row>
    <row r="99" spans="2:6" x14ac:dyDescent="0.2">
      <c r="B99" s="60" t="s">
        <v>35</v>
      </c>
      <c r="C99" s="60" t="s">
        <v>168</v>
      </c>
      <c r="D99" s="60" t="s">
        <v>131</v>
      </c>
      <c r="E99" s="60" t="s">
        <v>134</v>
      </c>
      <c r="F99" s="69" t="str">
        <f>IF(IFERROR(VLOOKUP(C99,Plan1!E:E,1,0),0)=0,"Não","Sim")</f>
        <v>Sim</v>
      </c>
    </row>
    <row r="100" spans="2:6" x14ac:dyDescent="0.2">
      <c r="B100" s="60" t="s">
        <v>35</v>
      </c>
      <c r="C100" s="60" t="s">
        <v>102</v>
      </c>
      <c r="D100" s="60" t="s">
        <v>131</v>
      </c>
      <c r="E100" s="60" t="s">
        <v>138</v>
      </c>
      <c r="F100" s="69" t="str">
        <f>IF(IFERROR(VLOOKUP(C100,Plan1!E:E,1,0),0)=0,"Não","Sim")</f>
        <v>Sim</v>
      </c>
    </row>
    <row r="101" spans="2:6" x14ac:dyDescent="0.2">
      <c r="B101" s="60" t="s">
        <v>35</v>
      </c>
      <c r="C101" s="60" t="s">
        <v>169</v>
      </c>
      <c r="D101" s="60" t="s">
        <v>131</v>
      </c>
      <c r="E101" s="60" t="s">
        <v>134</v>
      </c>
      <c r="F101" s="69" t="str">
        <f>IF(IFERROR(VLOOKUP(C101,Plan1!E:E,1,0),0)=0,"Não","Sim")</f>
        <v>Sim</v>
      </c>
    </row>
    <row r="102" spans="2:6" x14ac:dyDescent="0.2">
      <c r="B102" s="60" t="s">
        <v>35</v>
      </c>
      <c r="C102" s="60" t="s">
        <v>103</v>
      </c>
      <c r="D102" s="60" t="s">
        <v>131</v>
      </c>
      <c r="E102" s="60" t="s">
        <v>138</v>
      </c>
      <c r="F102" s="69" t="str">
        <f>IF(IFERROR(VLOOKUP(C102,Plan1!E:E,1,0),0)=0,"Não","Sim")</f>
        <v>Sim</v>
      </c>
    </row>
    <row r="103" spans="2:6" x14ac:dyDescent="0.2">
      <c r="B103" s="60" t="s">
        <v>35</v>
      </c>
      <c r="C103" s="60" t="s">
        <v>153</v>
      </c>
      <c r="D103" s="60" t="s">
        <v>131</v>
      </c>
      <c r="E103" s="60" t="s">
        <v>134</v>
      </c>
      <c r="F103" s="69" t="str">
        <f>IF(IFERROR(VLOOKUP(C103,Plan1!E:E,1,0),0)=0,"Não","Sim")</f>
        <v>Não</v>
      </c>
    </row>
    <row r="104" spans="2:6" x14ac:dyDescent="0.2">
      <c r="B104" s="60" t="s">
        <v>35</v>
      </c>
      <c r="C104" s="60" t="s">
        <v>105</v>
      </c>
      <c r="D104" s="60" t="s">
        <v>124</v>
      </c>
      <c r="E104" s="60" t="s">
        <v>148</v>
      </c>
      <c r="F104" s="69" t="str">
        <f>IF(IFERROR(VLOOKUP(C104,Plan1!E:E,1,0),0)=0,"Não","Sim")</f>
        <v>Sim</v>
      </c>
    </row>
    <row r="105" spans="2:6" x14ac:dyDescent="0.2">
      <c r="B105" s="60" t="s">
        <v>35</v>
      </c>
      <c r="C105" s="60" t="s">
        <v>107</v>
      </c>
      <c r="D105" s="60" t="s">
        <v>131</v>
      </c>
      <c r="E105" s="60" t="s">
        <v>148</v>
      </c>
      <c r="F105" s="69" t="str">
        <f>IF(IFERROR(VLOOKUP(C105,Plan1!E:E,1,0),0)=0,"Não","Sim")</f>
        <v>Sim</v>
      </c>
    </row>
    <row r="106" spans="2:6" x14ac:dyDescent="0.2">
      <c r="B106" s="60" t="s">
        <v>35</v>
      </c>
      <c r="C106" s="60" t="s">
        <v>174</v>
      </c>
      <c r="D106" s="60" t="s">
        <v>131</v>
      </c>
      <c r="E106" s="60" t="s">
        <v>134</v>
      </c>
      <c r="F106" s="69" t="str">
        <f>IF(IFERROR(VLOOKUP(C106,Plan1!E:E,1,0),0)=0,"Não","Sim")</f>
        <v>Sim</v>
      </c>
    </row>
    <row r="107" spans="2:6" x14ac:dyDescent="0.2">
      <c r="B107" s="60" t="s">
        <v>35</v>
      </c>
      <c r="C107" s="60" t="s">
        <v>178</v>
      </c>
      <c r="D107" s="60" t="s">
        <v>131</v>
      </c>
      <c r="E107" s="60" t="s">
        <v>134</v>
      </c>
      <c r="F107" s="69" t="str">
        <f>IF(IFERROR(VLOOKUP(C107,Plan1!E:E,1,0),0)=0,"Não","Sim")</f>
        <v>Sim</v>
      </c>
    </row>
    <row r="108" spans="2:6" x14ac:dyDescent="0.2">
      <c r="B108" s="60" t="s">
        <v>35</v>
      </c>
      <c r="C108" s="60" t="s">
        <v>160</v>
      </c>
      <c r="D108" s="60" t="s">
        <v>131</v>
      </c>
      <c r="E108" s="60" t="s">
        <v>134</v>
      </c>
      <c r="F108" s="69" t="str">
        <f>IF(IFERROR(VLOOKUP(C108,Plan1!E:E,1,0),0)=0,"Não","Sim")</f>
        <v>Sim</v>
      </c>
    </row>
    <row r="109" spans="2:6" x14ac:dyDescent="0.2">
      <c r="B109" s="60" t="s">
        <v>35</v>
      </c>
      <c r="C109" s="60" t="s">
        <v>108</v>
      </c>
      <c r="D109" s="60" t="s">
        <v>131</v>
      </c>
      <c r="E109" s="60" t="s">
        <v>134</v>
      </c>
      <c r="F109" s="69" t="str">
        <f>IF(IFERROR(VLOOKUP(C109,Plan1!E:E,1,0),0)=0,"Não","Sim")</f>
        <v>Sim</v>
      </c>
    </row>
    <row r="110" spans="2:6" x14ac:dyDescent="0.2">
      <c r="B110" s="60" t="s">
        <v>35</v>
      </c>
      <c r="C110" s="60" t="s">
        <v>109</v>
      </c>
      <c r="D110" s="60" t="s">
        <v>131</v>
      </c>
      <c r="E110" s="60" t="s">
        <v>138</v>
      </c>
      <c r="F110" s="69" t="str">
        <f>IF(IFERROR(VLOOKUP(C110,Plan1!E:E,1,0),0)=0,"Não","Sim")</f>
        <v>Sim</v>
      </c>
    </row>
    <row r="111" spans="2:6" x14ac:dyDescent="0.2">
      <c r="B111" s="60" t="s">
        <v>35</v>
      </c>
      <c r="C111" s="60" t="s">
        <v>110</v>
      </c>
      <c r="D111" s="60" t="s">
        <v>131</v>
      </c>
      <c r="E111" s="60" t="s">
        <v>143</v>
      </c>
      <c r="F111" s="69" t="str">
        <f>IF(IFERROR(VLOOKUP(C111,Plan1!E:E,1,0),0)=0,"Não","Sim")</f>
        <v>Sim</v>
      </c>
    </row>
    <row r="112" spans="2:6" x14ac:dyDescent="0.2">
      <c r="B112" s="60" t="s">
        <v>35</v>
      </c>
      <c r="C112" s="60" t="s">
        <v>182</v>
      </c>
      <c r="D112" s="60" t="s">
        <v>131</v>
      </c>
      <c r="E112" s="60" t="s">
        <v>134</v>
      </c>
      <c r="F112" s="69" t="str">
        <f>IF(IFERROR(VLOOKUP(C112,Plan1!E:E,1,0),0)=0,"Não","Sim")</f>
        <v>Sim</v>
      </c>
    </row>
    <row r="113" spans="2:6" x14ac:dyDescent="0.2">
      <c r="B113" s="60" t="s">
        <v>35</v>
      </c>
      <c r="C113" s="60" t="s">
        <v>112</v>
      </c>
      <c r="D113" s="60" t="s">
        <v>131</v>
      </c>
      <c r="E113" s="60" t="s">
        <v>134</v>
      </c>
      <c r="F113" s="69" t="str">
        <f>IF(IFERROR(VLOOKUP(C113,Plan1!E:E,1,0),0)=0,"Não","Sim")</f>
        <v>Sim</v>
      </c>
    </row>
    <row r="114" spans="2:6" x14ac:dyDescent="0.2">
      <c r="B114" s="60" t="s">
        <v>35</v>
      </c>
      <c r="C114" s="60" t="s">
        <v>113</v>
      </c>
      <c r="D114" s="60" t="s">
        <v>131</v>
      </c>
      <c r="E114" s="60" t="s">
        <v>134</v>
      </c>
      <c r="F114" s="69" t="str">
        <f>IF(IFERROR(VLOOKUP(C114,Plan1!E:E,1,0),0)=0,"Não","Sim")</f>
        <v>Sim</v>
      </c>
    </row>
    <row r="115" spans="2:6" x14ac:dyDescent="0.2">
      <c r="B115" s="60" t="s">
        <v>35</v>
      </c>
      <c r="C115" s="60" t="s">
        <v>114</v>
      </c>
      <c r="D115" s="60" t="s">
        <v>131</v>
      </c>
      <c r="E115" s="60" t="s">
        <v>134</v>
      </c>
      <c r="F115" s="69" t="str">
        <f>IF(IFERROR(VLOOKUP(C115,Plan1!E:E,1,0),0)=0,"Não","Sim")</f>
        <v>Sim</v>
      </c>
    </row>
    <row r="116" spans="2:6" x14ac:dyDescent="0.2">
      <c r="B116" s="60" t="s">
        <v>35</v>
      </c>
      <c r="C116" s="60" t="s">
        <v>115</v>
      </c>
      <c r="D116" s="60" t="s">
        <v>131</v>
      </c>
      <c r="E116" s="60" t="s">
        <v>138</v>
      </c>
      <c r="F116" s="69" t="str">
        <f>IF(IFERROR(VLOOKUP(C116,Plan1!E:E,1,0),0)=0,"Não","Sim")</f>
        <v>Sim</v>
      </c>
    </row>
    <row r="117" spans="2:6" x14ac:dyDescent="0.2">
      <c r="B117" s="60" t="s">
        <v>35</v>
      </c>
      <c r="C117" s="60" t="s">
        <v>117</v>
      </c>
      <c r="D117" s="60" t="s">
        <v>131</v>
      </c>
      <c r="E117" s="60" t="s">
        <v>143</v>
      </c>
      <c r="F117" s="69" t="str">
        <f>IF(IFERROR(VLOOKUP(C117,Plan1!E:E,1,0),0)=0,"Não","Sim")</f>
        <v>Sim</v>
      </c>
    </row>
    <row r="118" spans="2:6" x14ac:dyDescent="0.2">
      <c r="B118" s="60" t="s">
        <v>35</v>
      </c>
      <c r="C118" s="60" t="s">
        <v>118</v>
      </c>
      <c r="D118" s="60" t="s">
        <v>124</v>
      </c>
      <c r="E118" s="60" t="s">
        <v>148</v>
      </c>
      <c r="F118" s="69" t="str">
        <f>IF(IFERROR(VLOOKUP(C118,Plan1!E:E,1,0),0)=0,"Não","Sim")</f>
        <v>Sim</v>
      </c>
    </row>
    <row r="119" spans="2:6" x14ac:dyDescent="0.2">
      <c r="B119" s="60" t="s">
        <v>35</v>
      </c>
      <c r="C119" s="60" t="s">
        <v>260</v>
      </c>
      <c r="D119" s="60" t="s">
        <v>131</v>
      </c>
      <c r="E119" s="60" t="s">
        <v>132</v>
      </c>
      <c r="F119" s="69" t="str">
        <f>IF(IFERROR(VLOOKUP(C119,Plan1!E:E,1,0),0)=0,"Não","Sim")</f>
        <v>Sim</v>
      </c>
    </row>
    <row r="120" spans="2:6" x14ac:dyDescent="0.2">
      <c r="B120" s="60" t="s">
        <v>35</v>
      </c>
      <c r="C120" s="60" t="s">
        <v>210</v>
      </c>
      <c r="D120" s="60" t="s">
        <v>131</v>
      </c>
      <c r="E120" s="60" t="s">
        <v>138</v>
      </c>
      <c r="F120" s="69" t="str">
        <f>IF(IFERROR(VLOOKUP(C120,Plan1!E:E,1,0),0)=0,"Não","Sim")</f>
        <v>Sim</v>
      </c>
    </row>
  </sheetData>
  <autoFilter ref="B2:F120"/>
  <sortState ref="B3:E123">
    <sortCondition ref="B3:B123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N201"/>
  <sheetViews>
    <sheetView workbookViewId="0">
      <selection activeCell="E20" sqref="E20"/>
    </sheetView>
  </sheetViews>
  <sheetFormatPr defaultRowHeight="12.75" x14ac:dyDescent="0.2"/>
  <cols>
    <col min="1" max="1" width="16.28515625" bestFit="1" customWidth="1"/>
    <col min="3" max="3" width="11.5703125" customWidth="1"/>
    <col min="5" max="5" width="24.140625" bestFit="1" customWidth="1"/>
    <col min="7" max="7" width="10.140625" bestFit="1" customWidth="1"/>
    <col min="8" max="8" width="24.140625" bestFit="1" customWidth="1"/>
    <col min="9" max="9" width="11.5703125" bestFit="1" customWidth="1"/>
  </cols>
  <sheetData>
    <row r="1" spans="1:14" x14ac:dyDescent="0.2">
      <c r="E1" t="s">
        <v>50</v>
      </c>
      <c r="G1" t="s">
        <v>33</v>
      </c>
      <c r="H1" t="s">
        <v>68</v>
      </c>
      <c r="I1" t="s">
        <v>131</v>
      </c>
      <c r="J1" t="s">
        <v>134</v>
      </c>
      <c r="L1" t="s">
        <v>156</v>
      </c>
      <c r="M1">
        <v>1</v>
      </c>
      <c r="N1" t="s">
        <v>157</v>
      </c>
    </row>
    <row r="2" spans="1:14" x14ac:dyDescent="0.2">
      <c r="E2" t="s">
        <v>240</v>
      </c>
      <c r="G2" t="s">
        <v>33</v>
      </c>
      <c r="H2" t="s">
        <v>173</v>
      </c>
      <c r="I2" t="s">
        <v>131</v>
      </c>
      <c r="J2" t="s">
        <v>134</v>
      </c>
      <c r="M2">
        <v>2</v>
      </c>
      <c r="N2" t="s">
        <v>158</v>
      </c>
    </row>
    <row r="3" spans="1:14" x14ac:dyDescent="0.2">
      <c r="A3" s="65" t="s">
        <v>299</v>
      </c>
      <c r="B3" s="65" t="s">
        <v>119</v>
      </c>
      <c r="C3" s="65" t="s">
        <v>31</v>
      </c>
      <c r="E3" t="s">
        <v>51</v>
      </c>
      <c r="G3" t="s">
        <v>33</v>
      </c>
      <c r="H3" t="s">
        <v>159</v>
      </c>
      <c r="I3" t="s">
        <v>131</v>
      </c>
      <c r="J3" t="s">
        <v>134</v>
      </c>
      <c r="M3">
        <v>3</v>
      </c>
      <c r="N3" t="s">
        <v>159</v>
      </c>
    </row>
    <row r="4" spans="1:14" x14ac:dyDescent="0.2">
      <c r="A4" t="s">
        <v>33</v>
      </c>
      <c r="B4" t="s">
        <v>134</v>
      </c>
      <c r="C4" t="s">
        <v>131</v>
      </c>
      <c r="E4" t="s">
        <v>52</v>
      </c>
      <c r="G4" t="s">
        <v>33</v>
      </c>
      <c r="H4" t="s">
        <v>151</v>
      </c>
      <c r="I4" t="s">
        <v>131</v>
      </c>
      <c r="J4" t="s">
        <v>134</v>
      </c>
      <c r="M4">
        <v>4</v>
      </c>
      <c r="N4" t="s">
        <v>160</v>
      </c>
    </row>
    <row r="5" spans="1:14" x14ac:dyDescent="0.2">
      <c r="A5" t="s">
        <v>317</v>
      </c>
      <c r="E5" t="s">
        <v>53</v>
      </c>
      <c r="G5" t="s">
        <v>33</v>
      </c>
      <c r="H5" t="s">
        <v>309</v>
      </c>
      <c r="I5" t="s">
        <v>131</v>
      </c>
      <c r="J5" t="s">
        <v>134</v>
      </c>
      <c r="M5">
        <v>5</v>
      </c>
      <c r="N5" t="s">
        <v>156</v>
      </c>
    </row>
    <row r="6" spans="1:14" x14ac:dyDescent="0.2">
      <c r="A6" t="s">
        <v>34</v>
      </c>
      <c r="B6" t="s">
        <v>144</v>
      </c>
      <c r="C6" t="s">
        <v>140</v>
      </c>
      <c r="D6" s="65"/>
      <c r="E6" t="s">
        <v>54</v>
      </c>
      <c r="G6" t="s">
        <v>33</v>
      </c>
      <c r="H6" t="s">
        <v>155</v>
      </c>
      <c r="I6" t="s">
        <v>131</v>
      </c>
      <c r="J6" t="s">
        <v>134</v>
      </c>
      <c r="N6" t="s">
        <v>161</v>
      </c>
    </row>
    <row r="7" spans="1:14" x14ac:dyDescent="0.2">
      <c r="B7" t="s">
        <v>287</v>
      </c>
      <c r="C7" t="s">
        <v>127</v>
      </c>
      <c r="E7" t="s">
        <v>55</v>
      </c>
      <c r="G7" t="s">
        <v>34</v>
      </c>
      <c r="H7" t="s">
        <v>50</v>
      </c>
      <c r="I7" t="s">
        <v>140</v>
      </c>
      <c r="J7" t="s">
        <v>289</v>
      </c>
      <c r="N7" t="s">
        <v>162</v>
      </c>
    </row>
    <row r="8" spans="1:14" x14ac:dyDescent="0.2">
      <c r="B8" t="s">
        <v>289</v>
      </c>
      <c r="C8" t="s">
        <v>140</v>
      </c>
      <c r="E8" t="s">
        <v>56</v>
      </c>
      <c r="G8" t="s">
        <v>34</v>
      </c>
      <c r="H8" t="s">
        <v>240</v>
      </c>
      <c r="I8" s="52" t="s">
        <v>127</v>
      </c>
      <c r="J8" s="52" t="s">
        <v>128</v>
      </c>
      <c r="N8" t="s">
        <v>163</v>
      </c>
    </row>
    <row r="9" spans="1:14" x14ac:dyDescent="0.2">
      <c r="B9" t="s">
        <v>154</v>
      </c>
      <c r="C9" t="s">
        <v>140</v>
      </c>
      <c r="E9" t="s">
        <v>172</v>
      </c>
      <c r="G9" t="s">
        <v>34</v>
      </c>
      <c r="H9" t="s">
        <v>120</v>
      </c>
      <c r="I9" t="s">
        <v>121</v>
      </c>
      <c r="J9" t="s">
        <v>122</v>
      </c>
    </row>
    <row r="10" spans="1:14" x14ac:dyDescent="0.2">
      <c r="B10" t="s">
        <v>300</v>
      </c>
      <c r="C10" t="s">
        <v>121</v>
      </c>
      <c r="E10" t="s">
        <v>57</v>
      </c>
      <c r="G10" t="s">
        <v>34</v>
      </c>
      <c r="H10" t="s">
        <v>56</v>
      </c>
      <c r="I10" t="s">
        <v>140</v>
      </c>
      <c r="J10" t="s">
        <v>154</v>
      </c>
    </row>
    <row r="11" spans="1:14" x14ac:dyDescent="0.2">
      <c r="B11" t="s">
        <v>122</v>
      </c>
      <c r="C11" t="s">
        <v>121</v>
      </c>
      <c r="E11" t="s">
        <v>157</v>
      </c>
      <c r="G11" t="s">
        <v>34</v>
      </c>
      <c r="H11" t="s">
        <v>126</v>
      </c>
      <c r="I11" t="s">
        <v>127</v>
      </c>
      <c r="J11" t="s">
        <v>128</v>
      </c>
      <c r="N11" t="s">
        <v>164</v>
      </c>
    </row>
    <row r="12" spans="1:14" x14ac:dyDescent="0.2">
      <c r="B12" t="s">
        <v>312</v>
      </c>
      <c r="C12" t="s">
        <v>127</v>
      </c>
      <c r="E12" t="s">
        <v>58</v>
      </c>
      <c r="G12" t="s">
        <v>34</v>
      </c>
      <c r="H12" t="s">
        <v>57</v>
      </c>
      <c r="I12" t="s">
        <v>127</v>
      </c>
      <c r="J12" t="s">
        <v>128</v>
      </c>
      <c r="N12" t="s">
        <v>165</v>
      </c>
    </row>
    <row r="13" spans="1:14" x14ac:dyDescent="0.2">
      <c r="B13" t="s">
        <v>135</v>
      </c>
      <c r="C13" t="s">
        <v>121</v>
      </c>
      <c r="E13" t="s">
        <v>129</v>
      </c>
      <c r="G13" t="s">
        <v>34</v>
      </c>
      <c r="H13" t="s">
        <v>129</v>
      </c>
      <c r="I13" t="s">
        <v>127</v>
      </c>
      <c r="J13" t="s">
        <v>130</v>
      </c>
    </row>
    <row r="14" spans="1:14" x14ac:dyDescent="0.2">
      <c r="B14" t="s">
        <v>133</v>
      </c>
      <c r="C14" t="s">
        <v>121</v>
      </c>
      <c r="E14" t="s">
        <v>233</v>
      </c>
      <c r="G14" t="s">
        <v>34</v>
      </c>
      <c r="H14" t="s">
        <v>233</v>
      </c>
      <c r="I14" t="s">
        <v>121</v>
      </c>
      <c r="J14" t="s">
        <v>300</v>
      </c>
      <c r="M14">
        <v>6</v>
      </c>
      <c r="N14" t="s">
        <v>166</v>
      </c>
    </row>
    <row r="15" spans="1:14" x14ac:dyDescent="0.2">
      <c r="B15" t="s">
        <v>128</v>
      </c>
      <c r="C15" t="s">
        <v>127</v>
      </c>
      <c r="E15" t="s">
        <v>59</v>
      </c>
      <c r="G15" t="s">
        <v>34</v>
      </c>
      <c r="H15" t="s">
        <v>250</v>
      </c>
      <c r="I15" t="s">
        <v>140</v>
      </c>
      <c r="J15" t="s">
        <v>141</v>
      </c>
      <c r="M15">
        <v>7</v>
      </c>
      <c r="N15" t="s">
        <v>167</v>
      </c>
    </row>
    <row r="16" spans="1:14" x14ac:dyDescent="0.2">
      <c r="B16" t="s">
        <v>141</v>
      </c>
      <c r="C16" t="s">
        <v>140</v>
      </c>
      <c r="E16" t="s">
        <v>250</v>
      </c>
      <c r="G16" t="s">
        <v>34</v>
      </c>
      <c r="H16" t="s">
        <v>60</v>
      </c>
      <c r="I16" t="s">
        <v>121</v>
      </c>
      <c r="J16" t="s">
        <v>135</v>
      </c>
      <c r="M16">
        <v>8</v>
      </c>
      <c r="N16" t="s">
        <v>168</v>
      </c>
    </row>
    <row r="17" spans="1:14" x14ac:dyDescent="0.2">
      <c r="B17" t="s">
        <v>288</v>
      </c>
      <c r="C17" t="s">
        <v>140</v>
      </c>
      <c r="E17" t="s">
        <v>179</v>
      </c>
      <c r="G17" t="s">
        <v>34</v>
      </c>
      <c r="H17" t="s">
        <v>291</v>
      </c>
      <c r="I17" t="s">
        <v>121</v>
      </c>
      <c r="J17" t="s">
        <v>122</v>
      </c>
      <c r="M17">
        <v>9</v>
      </c>
      <c r="N17" t="s">
        <v>169</v>
      </c>
    </row>
    <row r="18" spans="1:14" x14ac:dyDescent="0.2">
      <c r="B18" t="s">
        <v>146</v>
      </c>
      <c r="C18" t="s">
        <v>140</v>
      </c>
      <c r="E18" t="s">
        <v>60</v>
      </c>
      <c r="G18" t="s">
        <v>34</v>
      </c>
      <c r="H18" t="s">
        <v>65</v>
      </c>
      <c r="I18" t="s">
        <v>121</v>
      </c>
      <c r="J18" t="s">
        <v>122</v>
      </c>
      <c r="M18">
        <v>10</v>
      </c>
      <c r="N18" t="s">
        <v>170</v>
      </c>
    </row>
    <row r="19" spans="1:14" x14ac:dyDescent="0.2">
      <c r="B19" t="s">
        <v>313</v>
      </c>
      <c r="C19" t="s">
        <v>127</v>
      </c>
      <c r="E19" t="s">
        <v>61</v>
      </c>
      <c r="G19" t="s">
        <v>34</v>
      </c>
      <c r="H19" t="s">
        <v>66</v>
      </c>
      <c r="I19" t="s">
        <v>121</v>
      </c>
      <c r="J19" t="s">
        <v>133</v>
      </c>
      <c r="M19">
        <v>11</v>
      </c>
      <c r="N19" t="s">
        <v>171</v>
      </c>
    </row>
    <row r="20" spans="1:14" x14ac:dyDescent="0.2">
      <c r="B20" t="s">
        <v>130</v>
      </c>
      <c r="C20" t="s">
        <v>127</v>
      </c>
      <c r="E20" t="s">
        <v>62</v>
      </c>
      <c r="G20" t="s">
        <v>34</v>
      </c>
      <c r="H20" t="s">
        <v>69</v>
      </c>
      <c r="I20" t="s">
        <v>140</v>
      </c>
      <c r="J20" t="s">
        <v>289</v>
      </c>
      <c r="M20">
        <v>12</v>
      </c>
      <c r="N20" t="s">
        <v>172</v>
      </c>
    </row>
    <row r="21" spans="1:14" x14ac:dyDescent="0.2">
      <c r="B21" t="s">
        <v>290</v>
      </c>
      <c r="C21" t="s">
        <v>127</v>
      </c>
      <c r="E21" t="s">
        <v>63</v>
      </c>
      <c r="G21" t="s">
        <v>34</v>
      </c>
      <c r="H21" t="s">
        <v>71</v>
      </c>
      <c r="I21" t="s">
        <v>121</v>
      </c>
      <c r="J21" t="s">
        <v>135</v>
      </c>
      <c r="M21">
        <v>13</v>
      </c>
      <c r="N21" t="s">
        <v>173</v>
      </c>
    </row>
    <row r="22" spans="1:14" x14ac:dyDescent="0.2">
      <c r="A22" t="s">
        <v>315</v>
      </c>
      <c r="E22" t="s">
        <v>291</v>
      </c>
      <c r="G22" t="s">
        <v>34</v>
      </c>
      <c r="H22" t="s">
        <v>74</v>
      </c>
      <c r="I22" t="s">
        <v>121</v>
      </c>
      <c r="J22" t="s">
        <v>122</v>
      </c>
      <c r="N22" t="s">
        <v>96</v>
      </c>
    </row>
    <row r="23" spans="1:14" x14ac:dyDescent="0.2">
      <c r="A23" t="s">
        <v>35</v>
      </c>
      <c r="B23" t="s">
        <v>132</v>
      </c>
      <c r="C23" t="s">
        <v>131</v>
      </c>
      <c r="E23" t="s">
        <v>64</v>
      </c>
      <c r="G23" t="s">
        <v>34</v>
      </c>
      <c r="H23" t="s">
        <v>248</v>
      </c>
      <c r="I23" t="s">
        <v>140</v>
      </c>
      <c r="J23" t="s">
        <v>154</v>
      </c>
      <c r="M23">
        <v>14</v>
      </c>
      <c r="N23" t="s">
        <v>174</v>
      </c>
    </row>
    <row r="24" spans="1:14" x14ac:dyDescent="0.2">
      <c r="B24" t="s">
        <v>143</v>
      </c>
      <c r="C24" t="s">
        <v>131</v>
      </c>
      <c r="E24" t="s">
        <v>65</v>
      </c>
      <c r="G24" t="s">
        <v>34</v>
      </c>
      <c r="H24" t="s">
        <v>76</v>
      </c>
      <c r="I24" t="s">
        <v>121</v>
      </c>
      <c r="J24" t="s">
        <v>122</v>
      </c>
      <c r="M24">
        <v>15</v>
      </c>
      <c r="N24" t="s">
        <v>175</v>
      </c>
    </row>
    <row r="25" spans="1:14" x14ac:dyDescent="0.2">
      <c r="B25" t="s">
        <v>125</v>
      </c>
      <c r="C25" t="s">
        <v>131</v>
      </c>
      <c r="E25" t="s">
        <v>66</v>
      </c>
      <c r="G25" t="s">
        <v>34</v>
      </c>
      <c r="H25" t="s">
        <v>77</v>
      </c>
      <c r="I25" t="s">
        <v>121</v>
      </c>
      <c r="J25" t="s">
        <v>133</v>
      </c>
      <c r="M25">
        <v>16</v>
      </c>
      <c r="N25" t="s">
        <v>176</v>
      </c>
    </row>
    <row r="26" spans="1:14" x14ac:dyDescent="0.2">
      <c r="C26" t="s">
        <v>124</v>
      </c>
      <c r="E26" t="s">
        <v>67</v>
      </c>
      <c r="G26" t="s">
        <v>34</v>
      </c>
      <c r="H26" t="s">
        <v>79</v>
      </c>
      <c r="I26" t="s">
        <v>140</v>
      </c>
      <c r="J26" t="s">
        <v>154</v>
      </c>
      <c r="M26">
        <v>17</v>
      </c>
      <c r="N26" t="s">
        <v>177</v>
      </c>
    </row>
    <row r="27" spans="1:14" x14ac:dyDescent="0.2">
      <c r="B27" t="s">
        <v>138</v>
      </c>
      <c r="C27" t="s">
        <v>131</v>
      </c>
      <c r="E27" t="s">
        <v>68</v>
      </c>
      <c r="G27" t="s">
        <v>34</v>
      </c>
      <c r="H27" t="s">
        <v>80</v>
      </c>
      <c r="I27" t="s">
        <v>140</v>
      </c>
      <c r="J27" t="s">
        <v>288</v>
      </c>
      <c r="M27">
        <v>18</v>
      </c>
      <c r="N27" t="s">
        <v>178</v>
      </c>
    </row>
    <row r="28" spans="1:14" x14ac:dyDescent="0.2">
      <c r="B28" t="s">
        <v>148</v>
      </c>
      <c r="C28" t="s">
        <v>131</v>
      </c>
      <c r="E28" t="s">
        <v>302</v>
      </c>
      <c r="G28" t="s">
        <v>34</v>
      </c>
      <c r="H28" t="s">
        <v>81</v>
      </c>
      <c r="I28" t="s">
        <v>140</v>
      </c>
      <c r="J28" t="s">
        <v>289</v>
      </c>
      <c r="M28">
        <v>19</v>
      </c>
      <c r="N28" t="s">
        <v>179</v>
      </c>
    </row>
    <row r="29" spans="1:14" x14ac:dyDescent="0.2">
      <c r="C29" t="s">
        <v>124</v>
      </c>
      <c r="E29" t="s">
        <v>70</v>
      </c>
      <c r="G29" t="s">
        <v>34</v>
      </c>
      <c r="H29" t="s">
        <v>237</v>
      </c>
      <c r="I29" s="52" t="s">
        <v>127</v>
      </c>
      <c r="J29" s="52" t="s">
        <v>312</v>
      </c>
      <c r="M29">
        <v>20</v>
      </c>
      <c r="N29" t="s">
        <v>180</v>
      </c>
    </row>
    <row r="30" spans="1:14" x14ac:dyDescent="0.2">
      <c r="B30" t="s">
        <v>298</v>
      </c>
      <c r="C30" t="s">
        <v>124</v>
      </c>
      <c r="E30" t="s">
        <v>71</v>
      </c>
      <c r="G30" t="s">
        <v>34</v>
      </c>
      <c r="H30" t="s">
        <v>83</v>
      </c>
      <c r="I30" t="s">
        <v>121</v>
      </c>
      <c r="J30" t="s">
        <v>122</v>
      </c>
      <c r="M30">
        <v>21</v>
      </c>
      <c r="N30" t="s">
        <v>181</v>
      </c>
    </row>
    <row r="31" spans="1:14" x14ac:dyDescent="0.2">
      <c r="B31" t="s">
        <v>134</v>
      </c>
      <c r="C31" t="s">
        <v>131</v>
      </c>
      <c r="E31" t="s">
        <v>72</v>
      </c>
      <c r="G31" t="s">
        <v>34</v>
      </c>
      <c r="H31" t="s">
        <v>139</v>
      </c>
      <c r="I31" t="s">
        <v>140</v>
      </c>
      <c r="J31" t="s">
        <v>141</v>
      </c>
      <c r="M31">
        <v>22</v>
      </c>
      <c r="N31" t="s">
        <v>182</v>
      </c>
    </row>
    <row r="32" spans="1:14" x14ac:dyDescent="0.2">
      <c r="A32" t="s">
        <v>316</v>
      </c>
      <c r="E32" t="s">
        <v>73</v>
      </c>
      <c r="G32" t="s">
        <v>34</v>
      </c>
      <c r="H32" t="s">
        <v>86</v>
      </c>
      <c r="I32" t="s">
        <v>127</v>
      </c>
      <c r="J32" t="s">
        <v>287</v>
      </c>
      <c r="M32">
        <v>23</v>
      </c>
      <c r="N32" t="s">
        <v>183</v>
      </c>
    </row>
    <row r="33" spans="1:14" x14ac:dyDescent="0.2">
      <c r="A33" t="s">
        <v>314</v>
      </c>
      <c r="E33" t="s">
        <v>74</v>
      </c>
      <c r="G33" t="s">
        <v>34</v>
      </c>
      <c r="H33" t="s">
        <v>87</v>
      </c>
      <c r="I33" t="s">
        <v>140</v>
      </c>
      <c r="J33" t="s">
        <v>144</v>
      </c>
    </row>
    <row r="34" spans="1:14" x14ac:dyDescent="0.2">
      <c r="E34" t="s">
        <v>248</v>
      </c>
      <c r="G34" t="s">
        <v>34</v>
      </c>
      <c r="H34" t="s">
        <v>145</v>
      </c>
      <c r="I34" t="s">
        <v>140</v>
      </c>
      <c r="J34" t="s">
        <v>146</v>
      </c>
      <c r="M34">
        <v>24</v>
      </c>
      <c r="N34" t="s">
        <v>52</v>
      </c>
    </row>
    <row r="35" spans="1:14" x14ac:dyDescent="0.2">
      <c r="E35" t="s">
        <v>303</v>
      </c>
      <c r="G35" t="s">
        <v>34</v>
      </c>
      <c r="H35" t="s">
        <v>147</v>
      </c>
      <c r="I35" t="s">
        <v>140</v>
      </c>
      <c r="J35" t="s">
        <v>146</v>
      </c>
      <c r="M35">
        <v>25</v>
      </c>
      <c r="N35" t="s">
        <v>68</v>
      </c>
    </row>
    <row r="36" spans="1:14" x14ac:dyDescent="0.2">
      <c r="E36" t="s">
        <v>181</v>
      </c>
      <c r="G36" t="s">
        <v>34</v>
      </c>
      <c r="H36" t="s">
        <v>97</v>
      </c>
      <c r="I36" t="s">
        <v>127</v>
      </c>
      <c r="J36" t="s">
        <v>290</v>
      </c>
      <c r="M36">
        <v>26</v>
      </c>
      <c r="N36" t="s">
        <v>184</v>
      </c>
    </row>
    <row r="37" spans="1:14" x14ac:dyDescent="0.2">
      <c r="E37" t="s">
        <v>76</v>
      </c>
      <c r="G37" t="s">
        <v>34</v>
      </c>
      <c r="H37" t="s">
        <v>195</v>
      </c>
      <c r="I37" s="52" t="s">
        <v>127</v>
      </c>
      <c r="J37" s="52" t="s">
        <v>313</v>
      </c>
      <c r="M37">
        <v>27</v>
      </c>
      <c r="N37" t="s">
        <v>185</v>
      </c>
    </row>
    <row r="38" spans="1:14" x14ac:dyDescent="0.2">
      <c r="E38" t="s">
        <v>304</v>
      </c>
      <c r="G38" t="s">
        <v>34</v>
      </c>
      <c r="H38" t="s">
        <v>262</v>
      </c>
      <c r="I38" s="52" t="s">
        <v>140</v>
      </c>
      <c r="J38" s="52" t="s">
        <v>288</v>
      </c>
      <c r="M38">
        <v>28</v>
      </c>
      <c r="N38" t="s">
        <v>186</v>
      </c>
    </row>
    <row r="39" spans="1:14" x14ac:dyDescent="0.2">
      <c r="E39" t="s">
        <v>305</v>
      </c>
      <c r="G39" t="s">
        <v>34</v>
      </c>
      <c r="H39" t="s">
        <v>104</v>
      </c>
      <c r="I39" t="s">
        <v>121</v>
      </c>
      <c r="J39" t="s">
        <v>122</v>
      </c>
      <c r="M39">
        <v>29</v>
      </c>
      <c r="N39" t="s">
        <v>95</v>
      </c>
    </row>
    <row r="40" spans="1:14" x14ac:dyDescent="0.2">
      <c r="E40" t="s">
        <v>78</v>
      </c>
      <c r="G40" t="s">
        <v>34</v>
      </c>
      <c r="H40" t="s">
        <v>226</v>
      </c>
      <c r="I40" t="s">
        <v>131</v>
      </c>
      <c r="J40" s="52" t="s">
        <v>289</v>
      </c>
      <c r="M40">
        <v>30</v>
      </c>
      <c r="N40" t="s">
        <v>187</v>
      </c>
    </row>
    <row r="41" spans="1:14" x14ac:dyDescent="0.2">
      <c r="E41" t="s">
        <v>293</v>
      </c>
      <c r="G41" t="s">
        <v>34</v>
      </c>
      <c r="H41" t="s">
        <v>106</v>
      </c>
      <c r="I41" t="s">
        <v>127</v>
      </c>
      <c r="J41" t="s">
        <v>128</v>
      </c>
      <c r="M41">
        <v>31</v>
      </c>
      <c r="N41" t="s">
        <v>188</v>
      </c>
    </row>
    <row r="42" spans="1:14" x14ac:dyDescent="0.2">
      <c r="E42" t="s">
        <v>173</v>
      </c>
      <c r="G42" t="s">
        <v>34</v>
      </c>
      <c r="H42" t="s">
        <v>111</v>
      </c>
      <c r="I42" t="s">
        <v>140</v>
      </c>
      <c r="J42" t="s">
        <v>154</v>
      </c>
      <c r="M42">
        <v>32</v>
      </c>
      <c r="N42" t="s">
        <v>189</v>
      </c>
    </row>
    <row r="43" spans="1:14" x14ac:dyDescent="0.2">
      <c r="E43" t="s">
        <v>79</v>
      </c>
      <c r="G43" t="s">
        <v>34</v>
      </c>
      <c r="H43" t="s">
        <v>116</v>
      </c>
      <c r="I43" t="s">
        <v>127</v>
      </c>
      <c r="J43" t="s">
        <v>128</v>
      </c>
      <c r="M43">
        <v>33</v>
      </c>
      <c r="N43" t="s">
        <v>72</v>
      </c>
    </row>
    <row r="44" spans="1:14" x14ac:dyDescent="0.2">
      <c r="E44" t="s">
        <v>80</v>
      </c>
      <c r="G44" t="s">
        <v>34</v>
      </c>
      <c r="H44" s="52" t="s">
        <v>227</v>
      </c>
      <c r="I44" s="52" t="s">
        <v>140</v>
      </c>
      <c r="J44" s="52" t="s">
        <v>289</v>
      </c>
      <c r="M44">
        <v>34</v>
      </c>
      <c r="N44" t="s">
        <v>190</v>
      </c>
    </row>
    <row r="45" spans="1:14" x14ac:dyDescent="0.2">
      <c r="E45" t="s">
        <v>81</v>
      </c>
      <c r="G45" t="s">
        <v>35</v>
      </c>
      <c r="H45" t="s">
        <v>51</v>
      </c>
      <c r="I45" t="s">
        <v>124</v>
      </c>
      <c r="J45" t="s">
        <v>125</v>
      </c>
      <c r="M45">
        <v>35</v>
      </c>
      <c r="N45" t="s">
        <v>191</v>
      </c>
    </row>
    <row r="46" spans="1:14" x14ac:dyDescent="0.2">
      <c r="E46" t="s">
        <v>237</v>
      </c>
      <c r="G46" t="s">
        <v>35</v>
      </c>
      <c r="H46" t="s">
        <v>52</v>
      </c>
      <c r="I46" t="s">
        <v>131</v>
      </c>
      <c r="J46" t="s">
        <v>134</v>
      </c>
      <c r="M46">
        <v>36</v>
      </c>
      <c r="N46" t="s">
        <v>192</v>
      </c>
    </row>
    <row r="47" spans="1:14" x14ac:dyDescent="0.2">
      <c r="E47" t="s">
        <v>82</v>
      </c>
      <c r="G47" t="s">
        <v>35</v>
      </c>
      <c r="H47" t="s">
        <v>53</v>
      </c>
      <c r="I47" t="s">
        <v>131</v>
      </c>
      <c r="J47" t="s">
        <v>143</v>
      </c>
      <c r="M47">
        <v>37</v>
      </c>
      <c r="N47" t="s">
        <v>82</v>
      </c>
    </row>
    <row r="48" spans="1:14" x14ac:dyDescent="0.2">
      <c r="E48" t="s">
        <v>294</v>
      </c>
      <c r="G48" t="s">
        <v>35</v>
      </c>
      <c r="H48" t="s">
        <v>123</v>
      </c>
      <c r="I48" t="s">
        <v>124</v>
      </c>
      <c r="J48" t="s">
        <v>125</v>
      </c>
      <c r="M48">
        <v>38</v>
      </c>
      <c r="N48" t="s">
        <v>193</v>
      </c>
    </row>
    <row r="49" spans="5:14" x14ac:dyDescent="0.2">
      <c r="E49" t="s">
        <v>158</v>
      </c>
      <c r="G49" t="s">
        <v>35</v>
      </c>
      <c r="H49" t="s">
        <v>54</v>
      </c>
      <c r="I49" t="s">
        <v>131</v>
      </c>
      <c r="J49" t="s">
        <v>134</v>
      </c>
    </row>
    <row r="50" spans="5:14" x14ac:dyDescent="0.2">
      <c r="E50" t="s">
        <v>83</v>
      </c>
      <c r="G50" t="s">
        <v>35</v>
      </c>
      <c r="H50" t="s">
        <v>55</v>
      </c>
      <c r="I50" t="s">
        <v>131</v>
      </c>
      <c r="J50" t="s">
        <v>134</v>
      </c>
      <c r="L50" t="s">
        <v>194</v>
      </c>
      <c r="M50">
        <v>1</v>
      </c>
      <c r="N50" t="s">
        <v>195</v>
      </c>
    </row>
    <row r="51" spans="5:14" x14ac:dyDescent="0.2">
      <c r="E51" t="s">
        <v>84</v>
      </c>
      <c r="G51" t="s">
        <v>35</v>
      </c>
      <c r="H51" t="s">
        <v>172</v>
      </c>
      <c r="I51" t="s">
        <v>131</v>
      </c>
      <c r="J51" t="s">
        <v>134</v>
      </c>
      <c r="M51">
        <v>2</v>
      </c>
      <c r="N51" t="s">
        <v>196</v>
      </c>
    </row>
    <row r="52" spans="5:14" x14ac:dyDescent="0.2">
      <c r="E52" t="s">
        <v>139</v>
      </c>
      <c r="G52" t="s">
        <v>35</v>
      </c>
      <c r="H52" t="s">
        <v>157</v>
      </c>
      <c r="I52" t="s">
        <v>131</v>
      </c>
      <c r="J52" t="s">
        <v>134</v>
      </c>
      <c r="M52">
        <v>3</v>
      </c>
      <c r="N52" t="s">
        <v>197</v>
      </c>
    </row>
    <row r="53" spans="5:14" x14ac:dyDescent="0.2">
      <c r="E53" t="s">
        <v>85</v>
      </c>
      <c r="G53" t="s">
        <v>35</v>
      </c>
      <c r="H53" t="s">
        <v>58</v>
      </c>
      <c r="I53" t="s">
        <v>124</v>
      </c>
      <c r="J53" t="s">
        <v>298</v>
      </c>
    </row>
    <row r="54" spans="5:14" x14ac:dyDescent="0.2">
      <c r="E54" t="s">
        <v>295</v>
      </c>
      <c r="G54" t="s">
        <v>35</v>
      </c>
      <c r="H54" t="s">
        <v>59</v>
      </c>
      <c r="I54" t="s">
        <v>124</v>
      </c>
      <c r="J54" t="s">
        <v>148</v>
      </c>
      <c r="L54" t="s">
        <v>198</v>
      </c>
      <c r="M54">
        <v>1</v>
      </c>
      <c r="N54" t="s">
        <v>199</v>
      </c>
    </row>
    <row r="55" spans="5:14" x14ac:dyDescent="0.2">
      <c r="E55" t="s">
        <v>217</v>
      </c>
      <c r="G55" t="s">
        <v>35</v>
      </c>
      <c r="H55" t="s">
        <v>179</v>
      </c>
      <c r="I55" t="s">
        <v>131</v>
      </c>
      <c r="J55" s="52" t="s">
        <v>134</v>
      </c>
      <c r="M55">
        <v>1</v>
      </c>
      <c r="N55" t="s">
        <v>200</v>
      </c>
    </row>
    <row r="56" spans="5:14" x14ac:dyDescent="0.2">
      <c r="E56" t="s">
        <v>208</v>
      </c>
      <c r="G56" t="s">
        <v>35</v>
      </c>
      <c r="H56" t="s">
        <v>61</v>
      </c>
      <c r="I56" t="s">
        <v>131</v>
      </c>
      <c r="J56" t="s">
        <v>132</v>
      </c>
      <c r="M56">
        <v>2</v>
      </c>
      <c r="N56" t="s">
        <v>142</v>
      </c>
    </row>
    <row r="57" spans="5:14" x14ac:dyDescent="0.2">
      <c r="E57" t="s">
        <v>86</v>
      </c>
      <c r="G57" t="s">
        <v>35</v>
      </c>
      <c r="H57" t="s">
        <v>62</v>
      </c>
      <c r="I57" t="s">
        <v>124</v>
      </c>
      <c r="J57" t="s">
        <v>148</v>
      </c>
      <c r="M57">
        <v>3</v>
      </c>
      <c r="N57" t="s">
        <v>91</v>
      </c>
    </row>
    <row r="58" spans="5:14" x14ac:dyDescent="0.2">
      <c r="E58" t="s">
        <v>87</v>
      </c>
      <c r="G58" t="s">
        <v>35</v>
      </c>
      <c r="H58" t="s">
        <v>63</v>
      </c>
      <c r="I58" t="s">
        <v>124</v>
      </c>
      <c r="J58" t="s">
        <v>125</v>
      </c>
      <c r="M58">
        <v>4</v>
      </c>
      <c r="N58" t="s">
        <v>201</v>
      </c>
    </row>
    <row r="59" spans="5:14" x14ac:dyDescent="0.2">
      <c r="E59" t="s">
        <v>88</v>
      </c>
      <c r="G59" t="s">
        <v>35</v>
      </c>
      <c r="H59" t="s">
        <v>64</v>
      </c>
      <c r="I59" t="s">
        <v>124</v>
      </c>
      <c r="J59" t="s">
        <v>298</v>
      </c>
      <c r="M59">
        <v>5</v>
      </c>
      <c r="N59" t="s">
        <v>110</v>
      </c>
    </row>
    <row r="60" spans="5:14" x14ac:dyDescent="0.2">
      <c r="E60" t="s">
        <v>159</v>
      </c>
      <c r="G60" t="s">
        <v>35</v>
      </c>
      <c r="H60" t="s">
        <v>67</v>
      </c>
      <c r="I60" t="s">
        <v>124</v>
      </c>
      <c r="J60" t="s">
        <v>125</v>
      </c>
      <c r="M60">
        <v>6</v>
      </c>
      <c r="N60" t="s">
        <v>53</v>
      </c>
    </row>
    <row r="61" spans="5:14" x14ac:dyDescent="0.2">
      <c r="E61" t="s">
        <v>187</v>
      </c>
      <c r="G61" t="s">
        <v>35</v>
      </c>
      <c r="H61" t="s">
        <v>70</v>
      </c>
      <c r="I61" t="s">
        <v>124</v>
      </c>
      <c r="J61" t="s">
        <v>148</v>
      </c>
      <c r="M61">
        <v>7</v>
      </c>
      <c r="N61" t="s">
        <v>202</v>
      </c>
    </row>
    <row r="62" spans="5:14" x14ac:dyDescent="0.2">
      <c r="E62" t="s">
        <v>90</v>
      </c>
      <c r="G62" t="s">
        <v>35</v>
      </c>
      <c r="H62" t="s">
        <v>72</v>
      </c>
      <c r="I62" t="s">
        <v>131</v>
      </c>
      <c r="J62" t="s">
        <v>134</v>
      </c>
      <c r="M62">
        <v>8</v>
      </c>
      <c r="N62" t="s">
        <v>203</v>
      </c>
    </row>
    <row r="63" spans="5:14" x14ac:dyDescent="0.2">
      <c r="E63" t="s">
        <v>91</v>
      </c>
      <c r="G63" t="s">
        <v>35</v>
      </c>
      <c r="H63" t="s">
        <v>73</v>
      </c>
      <c r="I63" t="s">
        <v>124</v>
      </c>
      <c r="J63" t="s">
        <v>125</v>
      </c>
      <c r="M63">
        <v>9</v>
      </c>
      <c r="N63" t="s">
        <v>204</v>
      </c>
    </row>
    <row r="64" spans="5:14" x14ac:dyDescent="0.2">
      <c r="E64" t="s">
        <v>92</v>
      </c>
      <c r="G64" t="s">
        <v>35</v>
      </c>
      <c r="H64" t="s">
        <v>136</v>
      </c>
      <c r="I64" t="s">
        <v>124</v>
      </c>
      <c r="J64" t="s">
        <v>125</v>
      </c>
      <c r="M64">
        <v>10</v>
      </c>
      <c r="N64" t="s">
        <v>205</v>
      </c>
    </row>
    <row r="65" spans="5:14" x14ac:dyDescent="0.2">
      <c r="E65" t="s">
        <v>93</v>
      </c>
      <c r="G65" t="s">
        <v>35</v>
      </c>
      <c r="H65" t="s">
        <v>181</v>
      </c>
      <c r="I65" t="s">
        <v>131</v>
      </c>
      <c r="J65" t="s">
        <v>134</v>
      </c>
      <c r="M65">
        <v>11</v>
      </c>
      <c r="N65" t="s">
        <v>100</v>
      </c>
    </row>
    <row r="66" spans="5:14" x14ac:dyDescent="0.2">
      <c r="E66" t="s">
        <v>94</v>
      </c>
      <c r="G66" t="s">
        <v>35</v>
      </c>
      <c r="H66" t="s">
        <v>304</v>
      </c>
      <c r="I66" t="s">
        <v>131</v>
      </c>
      <c r="J66" t="s">
        <v>134</v>
      </c>
      <c r="M66">
        <v>12</v>
      </c>
      <c r="N66" t="s">
        <v>206</v>
      </c>
    </row>
    <row r="67" spans="5:14" x14ac:dyDescent="0.2">
      <c r="E67" t="s">
        <v>95</v>
      </c>
      <c r="G67" t="s">
        <v>35</v>
      </c>
      <c r="H67" t="s">
        <v>78</v>
      </c>
      <c r="I67" t="s">
        <v>131</v>
      </c>
      <c r="J67" t="s">
        <v>132</v>
      </c>
      <c r="M67">
        <v>13</v>
      </c>
      <c r="N67" t="s">
        <v>117</v>
      </c>
    </row>
    <row r="68" spans="5:14" x14ac:dyDescent="0.2">
      <c r="E68" t="s">
        <v>96</v>
      </c>
      <c r="G68" t="s">
        <v>35</v>
      </c>
      <c r="H68" t="s">
        <v>293</v>
      </c>
      <c r="I68" t="s">
        <v>131</v>
      </c>
      <c r="J68" t="s">
        <v>134</v>
      </c>
    </row>
    <row r="69" spans="5:14" x14ac:dyDescent="0.2">
      <c r="E69" t="s">
        <v>97</v>
      </c>
      <c r="G69" t="s">
        <v>35</v>
      </c>
      <c r="H69" t="s">
        <v>82</v>
      </c>
      <c r="I69" t="s">
        <v>131</v>
      </c>
      <c r="J69" t="s">
        <v>134</v>
      </c>
      <c r="L69" t="s">
        <v>103</v>
      </c>
      <c r="M69">
        <v>1</v>
      </c>
      <c r="N69" t="s">
        <v>207</v>
      </c>
    </row>
    <row r="70" spans="5:14" x14ac:dyDescent="0.2">
      <c r="E70" t="s">
        <v>98</v>
      </c>
      <c r="G70" t="s">
        <v>35</v>
      </c>
      <c r="H70" t="s">
        <v>294</v>
      </c>
      <c r="I70" t="s">
        <v>131</v>
      </c>
      <c r="J70" t="s">
        <v>134</v>
      </c>
      <c r="M70">
        <v>2</v>
      </c>
      <c r="N70" t="s">
        <v>208</v>
      </c>
    </row>
    <row r="71" spans="5:14" x14ac:dyDescent="0.2">
      <c r="E71" t="s">
        <v>99</v>
      </c>
      <c r="G71" t="s">
        <v>35</v>
      </c>
      <c r="H71" t="s">
        <v>158</v>
      </c>
      <c r="I71" t="s">
        <v>131</v>
      </c>
      <c r="J71" t="s">
        <v>134</v>
      </c>
      <c r="M71">
        <v>3</v>
      </c>
      <c r="N71" t="s">
        <v>103</v>
      </c>
    </row>
    <row r="72" spans="5:14" x14ac:dyDescent="0.2">
      <c r="E72" t="s">
        <v>306</v>
      </c>
      <c r="G72" t="s">
        <v>35</v>
      </c>
      <c r="H72" t="s">
        <v>84</v>
      </c>
      <c r="I72" t="s">
        <v>124</v>
      </c>
      <c r="J72" t="s">
        <v>148</v>
      </c>
      <c r="N72" t="s">
        <v>209</v>
      </c>
    </row>
    <row r="73" spans="5:14" x14ac:dyDescent="0.2">
      <c r="E73" t="s">
        <v>307</v>
      </c>
      <c r="G73" t="s">
        <v>35</v>
      </c>
      <c r="H73" t="s">
        <v>137</v>
      </c>
      <c r="I73" t="s">
        <v>131</v>
      </c>
      <c r="J73" t="s">
        <v>138</v>
      </c>
      <c r="M73">
        <v>4</v>
      </c>
      <c r="N73" t="s">
        <v>210</v>
      </c>
    </row>
    <row r="74" spans="5:14" x14ac:dyDescent="0.2">
      <c r="E74" t="s">
        <v>207</v>
      </c>
      <c r="G74" t="s">
        <v>35</v>
      </c>
      <c r="H74" t="s">
        <v>142</v>
      </c>
      <c r="I74" t="s">
        <v>131</v>
      </c>
      <c r="J74" t="s">
        <v>143</v>
      </c>
      <c r="M74">
        <v>5</v>
      </c>
      <c r="N74" t="s">
        <v>211</v>
      </c>
    </row>
    <row r="75" spans="5:14" x14ac:dyDescent="0.2">
      <c r="E75" t="s">
        <v>101</v>
      </c>
      <c r="G75" t="s">
        <v>35</v>
      </c>
      <c r="H75" t="s">
        <v>85</v>
      </c>
      <c r="I75" t="s">
        <v>131</v>
      </c>
      <c r="J75" t="s">
        <v>134</v>
      </c>
      <c r="M75">
        <v>6</v>
      </c>
      <c r="N75" t="s">
        <v>137</v>
      </c>
    </row>
    <row r="76" spans="5:14" x14ac:dyDescent="0.2">
      <c r="E76" t="s">
        <v>195</v>
      </c>
      <c r="G76" t="s">
        <v>35</v>
      </c>
      <c r="H76" t="s">
        <v>295</v>
      </c>
      <c r="I76" t="s">
        <v>131</v>
      </c>
      <c r="J76" t="s">
        <v>134</v>
      </c>
      <c r="M76">
        <v>7</v>
      </c>
      <c r="N76" t="s">
        <v>93</v>
      </c>
    </row>
    <row r="77" spans="5:14" x14ac:dyDescent="0.2">
      <c r="E77" t="s">
        <v>168</v>
      </c>
      <c r="G77" t="s">
        <v>35</v>
      </c>
      <c r="H77" t="s">
        <v>217</v>
      </c>
      <c r="I77" t="s">
        <v>131</v>
      </c>
      <c r="J77" s="52" t="s">
        <v>125</v>
      </c>
      <c r="M77">
        <v>8</v>
      </c>
      <c r="N77" t="s">
        <v>212</v>
      </c>
    </row>
    <row r="78" spans="5:14" x14ac:dyDescent="0.2">
      <c r="E78" t="s">
        <v>102</v>
      </c>
      <c r="G78" t="s">
        <v>35</v>
      </c>
      <c r="H78" t="s">
        <v>208</v>
      </c>
      <c r="I78" t="s">
        <v>131</v>
      </c>
      <c r="J78" t="s">
        <v>138</v>
      </c>
      <c r="M78">
        <v>9</v>
      </c>
      <c r="N78" t="s">
        <v>213</v>
      </c>
    </row>
    <row r="79" spans="5:14" x14ac:dyDescent="0.2">
      <c r="E79" t="s">
        <v>262</v>
      </c>
      <c r="G79" t="s">
        <v>35</v>
      </c>
      <c r="H79" t="s">
        <v>88</v>
      </c>
      <c r="I79" t="s">
        <v>131</v>
      </c>
      <c r="J79" t="s">
        <v>134</v>
      </c>
      <c r="M79">
        <v>10</v>
      </c>
      <c r="N79" t="s">
        <v>214</v>
      </c>
    </row>
    <row r="80" spans="5:14" x14ac:dyDescent="0.2">
      <c r="E80" t="s">
        <v>169</v>
      </c>
      <c r="G80" t="s">
        <v>35</v>
      </c>
      <c r="H80" t="s">
        <v>89</v>
      </c>
      <c r="I80" t="s">
        <v>131</v>
      </c>
      <c r="J80" t="s">
        <v>134</v>
      </c>
      <c r="M80">
        <v>11</v>
      </c>
      <c r="N80" t="s">
        <v>94</v>
      </c>
    </row>
    <row r="81" spans="5:14" x14ac:dyDescent="0.2">
      <c r="E81" t="s">
        <v>308</v>
      </c>
      <c r="G81" t="s">
        <v>35</v>
      </c>
      <c r="H81" t="s">
        <v>90</v>
      </c>
      <c r="I81" t="s">
        <v>124</v>
      </c>
      <c r="J81" t="s">
        <v>298</v>
      </c>
      <c r="M81">
        <v>12</v>
      </c>
      <c r="N81" t="s">
        <v>109</v>
      </c>
    </row>
    <row r="82" spans="5:14" x14ac:dyDescent="0.2">
      <c r="E82" t="s">
        <v>104</v>
      </c>
      <c r="G82" t="s">
        <v>35</v>
      </c>
      <c r="H82" t="s">
        <v>91</v>
      </c>
      <c r="I82" t="s">
        <v>131</v>
      </c>
      <c r="J82" t="s">
        <v>143</v>
      </c>
      <c r="M82">
        <v>13</v>
      </c>
      <c r="N82" t="s">
        <v>115</v>
      </c>
    </row>
    <row r="83" spans="5:14" x14ac:dyDescent="0.2">
      <c r="E83" t="s">
        <v>309</v>
      </c>
      <c r="G83" t="s">
        <v>35</v>
      </c>
      <c r="H83" t="s">
        <v>92</v>
      </c>
      <c r="I83" t="s">
        <v>131</v>
      </c>
      <c r="J83" t="s">
        <v>134</v>
      </c>
      <c r="M83">
        <v>14</v>
      </c>
      <c r="N83" t="s">
        <v>215</v>
      </c>
    </row>
    <row r="84" spans="5:14" x14ac:dyDescent="0.2">
      <c r="E84" t="s">
        <v>226</v>
      </c>
      <c r="G84" t="s">
        <v>35</v>
      </c>
      <c r="H84" t="s">
        <v>93</v>
      </c>
      <c r="I84" t="s">
        <v>131</v>
      </c>
      <c r="J84" t="s">
        <v>138</v>
      </c>
    </row>
    <row r="85" spans="5:14" x14ac:dyDescent="0.2">
      <c r="E85" t="s">
        <v>105</v>
      </c>
      <c r="G85" t="s">
        <v>35</v>
      </c>
      <c r="H85" t="s">
        <v>94</v>
      </c>
      <c r="I85" t="s">
        <v>131</v>
      </c>
      <c r="J85" t="s">
        <v>138</v>
      </c>
      <c r="L85" t="s">
        <v>216</v>
      </c>
      <c r="M85">
        <v>1</v>
      </c>
      <c r="N85" t="s">
        <v>217</v>
      </c>
    </row>
    <row r="86" spans="5:14" x14ac:dyDescent="0.2">
      <c r="E86" t="s">
        <v>106</v>
      </c>
      <c r="G86" t="s">
        <v>35</v>
      </c>
      <c r="H86" t="s">
        <v>95</v>
      </c>
      <c r="I86" t="s">
        <v>131</v>
      </c>
      <c r="J86" t="s">
        <v>134</v>
      </c>
      <c r="M86">
        <v>2</v>
      </c>
      <c r="N86" t="s">
        <v>51</v>
      </c>
    </row>
    <row r="87" spans="5:14" x14ac:dyDescent="0.2">
      <c r="E87" t="s">
        <v>107</v>
      </c>
      <c r="G87" t="s">
        <v>35</v>
      </c>
      <c r="H87" t="s">
        <v>96</v>
      </c>
      <c r="I87" t="s">
        <v>131</v>
      </c>
      <c r="J87" t="s">
        <v>134</v>
      </c>
      <c r="M87">
        <v>3</v>
      </c>
      <c r="N87" t="s">
        <v>123</v>
      </c>
    </row>
    <row r="88" spans="5:14" x14ac:dyDescent="0.2">
      <c r="E88" t="s">
        <v>174</v>
      </c>
      <c r="G88" t="s">
        <v>35</v>
      </c>
      <c r="H88" t="s">
        <v>98</v>
      </c>
      <c r="I88" t="s">
        <v>131</v>
      </c>
      <c r="J88" t="s">
        <v>134</v>
      </c>
      <c r="M88">
        <v>4</v>
      </c>
      <c r="N88" t="s">
        <v>218</v>
      </c>
    </row>
    <row r="89" spans="5:14" x14ac:dyDescent="0.2">
      <c r="E89" t="s">
        <v>296</v>
      </c>
      <c r="G89" t="s">
        <v>35</v>
      </c>
      <c r="H89" t="s">
        <v>99</v>
      </c>
      <c r="I89" t="s">
        <v>124</v>
      </c>
      <c r="J89" t="s">
        <v>148</v>
      </c>
      <c r="M89">
        <v>5</v>
      </c>
      <c r="N89" t="s">
        <v>67</v>
      </c>
    </row>
    <row r="90" spans="5:14" x14ac:dyDescent="0.2">
      <c r="E90" t="s">
        <v>297</v>
      </c>
      <c r="G90" t="s">
        <v>35</v>
      </c>
      <c r="H90" t="s">
        <v>100</v>
      </c>
      <c r="I90" t="s">
        <v>131</v>
      </c>
      <c r="J90" t="s">
        <v>143</v>
      </c>
      <c r="M90">
        <v>6</v>
      </c>
      <c r="N90" t="s">
        <v>75</v>
      </c>
    </row>
    <row r="91" spans="5:14" x14ac:dyDescent="0.2">
      <c r="E91" t="s">
        <v>108</v>
      </c>
      <c r="G91" t="s">
        <v>35</v>
      </c>
      <c r="H91" t="s">
        <v>307</v>
      </c>
      <c r="I91" t="s">
        <v>131</v>
      </c>
      <c r="J91" t="s">
        <v>134</v>
      </c>
      <c r="M91">
        <v>7</v>
      </c>
      <c r="N91" t="s">
        <v>219</v>
      </c>
    </row>
    <row r="92" spans="5:14" x14ac:dyDescent="0.2">
      <c r="E92" t="s">
        <v>109</v>
      </c>
      <c r="G92" t="s">
        <v>35</v>
      </c>
      <c r="H92" t="s">
        <v>207</v>
      </c>
      <c r="I92" t="s">
        <v>131</v>
      </c>
      <c r="J92" t="s">
        <v>138</v>
      </c>
      <c r="M92">
        <v>8</v>
      </c>
      <c r="N92" t="s">
        <v>220</v>
      </c>
    </row>
    <row r="93" spans="5:14" x14ac:dyDescent="0.2">
      <c r="E93" t="s">
        <v>110</v>
      </c>
      <c r="G93" t="s">
        <v>35</v>
      </c>
      <c r="H93" t="s">
        <v>101</v>
      </c>
      <c r="I93" t="s">
        <v>131</v>
      </c>
      <c r="J93" t="s">
        <v>134</v>
      </c>
      <c r="M93">
        <v>9</v>
      </c>
      <c r="N93" t="s">
        <v>221</v>
      </c>
    </row>
    <row r="94" spans="5:14" x14ac:dyDescent="0.2">
      <c r="E94" t="s">
        <v>111</v>
      </c>
      <c r="G94" t="s">
        <v>35</v>
      </c>
      <c r="H94" t="s">
        <v>149</v>
      </c>
      <c r="I94" t="s">
        <v>131</v>
      </c>
      <c r="J94" t="s">
        <v>134</v>
      </c>
      <c r="M94">
        <v>10</v>
      </c>
      <c r="N94" t="s">
        <v>73</v>
      </c>
    </row>
    <row r="95" spans="5:14" x14ac:dyDescent="0.2">
      <c r="E95" t="s">
        <v>182</v>
      </c>
      <c r="G95" t="s">
        <v>35</v>
      </c>
      <c r="H95" t="s">
        <v>150</v>
      </c>
      <c r="I95" t="s">
        <v>131</v>
      </c>
      <c r="J95" t="s">
        <v>134</v>
      </c>
      <c r="M95">
        <v>11</v>
      </c>
      <c r="N95" t="s">
        <v>222</v>
      </c>
    </row>
    <row r="96" spans="5:14" x14ac:dyDescent="0.2">
      <c r="E96" t="s">
        <v>310</v>
      </c>
      <c r="G96" t="s">
        <v>35</v>
      </c>
      <c r="H96" t="s">
        <v>152</v>
      </c>
      <c r="I96" t="s">
        <v>124</v>
      </c>
      <c r="J96" t="s">
        <v>148</v>
      </c>
      <c r="M96">
        <v>12</v>
      </c>
      <c r="N96" t="s">
        <v>223</v>
      </c>
    </row>
    <row r="97" spans="5:14" x14ac:dyDescent="0.2">
      <c r="E97" t="s">
        <v>311</v>
      </c>
      <c r="G97" t="s">
        <v>35</v>
      </c>
      <c r="H97" t="s">
        <v>168</v>
      </c>
      <c r="I97" t="s">
        <v>131</v>
      </c>
      <c r="J97" t="s">
        <v>134</v>
      </c>
    </row>
    <row r="98" spans="5:14" x14ac:dyDescent="0.2">
      <c r="E98" t="s">
        <v>114</v>
      </c>
      <c r="G98" t="s">
        <v>35</v>
      </c>
      <c r="H98" t="s">
        <v>102</v>
      </c>
      <c r="I98" t="s">
        <v>131</v>
      </c>
      <c r="J98" t="s">
        <v>138</v>
      </c>
      <c r="L98" t="s">
        <v>224</v>
      </c>
      <c r="M98">
        <v>1</v>
      </c>
      <c r="N98" t="s">
        <v>225</v>
      </c>
    </row>
    <row r="99" spans="5:14" x14ac:dyDescent="0.2">
      <c r="E99" t="s">
        <v>115</v>
      </c>
      <c r="G99" t="s">
        <v>35</v>
      </c>
      <c r="H99" t="s">
        <v>169</v>
      </c>
      <c r="I99" t="s">
        <v>131</v>
      </c>
      <c r="J99" t="s">
        <v>134</v>
      </c>
      <c r="M99">
        <v>2</v>
      </c>
      <c r="N99" t="s">
        <v>226</v>
      </c>
    </row>
    <row r="100" spans="5:14" x14ac:dyDescent="0.2">
      <c r="E100" t="s">
        <v>116</v>
      </c>
      <c r="G100" t="s">
        <v>35</v>
      </c>
      <c r="H100" t="s">
        <v>103</v>
      </c>
      <c r="I100" t="s">
        <v>131</v>
      </c>
      <c r="J100" t="s">
        <v>138</v>
      </c>
      <c r="M100">
        <v>3</v>
      </c>
      <c r="N100" t="s">
        <v>227</v>
      </c>
    </row>
    <row r="101" spans="5:14" x14ac:dyDescent="0.2">
      <c r="E101" t="s">
        <v>117</v>
      </c>
      <c r="G101" t="s">
        <v>35</v>
      </c>
      <c r="H101" t="s">
        <v>153</v>
      </c>
      <c r="I101" t="s">
        <v>131</v>
      </c>
      <c r="J101" t="s">
        <v>134</v>
      </c>
      <c r="M101">
        <v>4</v>
      </c>
      <c r="N101" t="s">
        <v>228</v>
      </c>
    </row>
    <row r="102" spans="5:14" x14ac:dyDescent="0.2">
      <c r="E102" t="s">
        <v>118</v>
      </c>
      <c r="G102" t="s">
        <v>35</v>
      </c>
      <c r="H102" t="s">
        <v>105</v>
      </c>
      <c r="I102" t="s">
        <v>124</v>
      </c>
      <c r="J102" t="s">
        <v>148</v>
      </c>
      <c r="M102">
        <v>5</v>
      </c>
      <c r="N102" t="s">
        <v>229</v>
      </c>
    </row>
    <row r="103" spans="5:14" x14ac:dyDescent="0.2">
      <c r="E103" t="s">
        <v>260</v>
      </c>
      <c r="G103" t="s">
        <v>35</v>
      </c>
      <c r="H103" t="s">
        <v>107</v>
      </c>
      <c r="I103" t="s">
        <v>131</v>
      </c>
      <c r="J103" t="s">
        <v>148</v>
      </c>
      <c r="M103">
        <v>6</v>
      </c>
      <c r="N103" t="s">
        <v>50</v>
      </c>
    </row>
    <row r="104" spans="5:14" x14ac:dyDescent="0.2">
      <c r="E104" t="s">
        <v>292</v>
      </c>
      <c r="G104" t="s">
        <v>35</v>
      </c>
      <c r="H104" t="s">
        <v>174</v>
      </c>
      <c r="I104" t="s">
        <v>131</v>
      </c>
      <c r="J104" t="s">
        <v>134</v>
      </c>
      <c r="M104">
        <v>7</v>
      </c>
      <c r="N104" t="s">
        <v>230</v>
      </c>
    </row>
    <row r="105" spans="5:14" x14ac:dyDescent="0.2">
      <c r="E105" t="s">
        <v>210</v>
      </c>
      <c r="G105" t="s">
        <v>35</v>
      </c>
      <c r="H105" t="s">
        <v>296</v>
      </c>
      <c r="I105" t="s">
        <v>131</v>
      </c>
      <c r="J105" t="s">
        <v>134</v>
      </c>
      <c r="M105">
        <v>8</v>
      </c>
      <c r="N105" t="s">
        <v>81</v>
      </c>
    </row>
    <row r="106" spans="5:14" x14ac:dyDescent="0.2">
      <c r="E106" t="s">
        <v>142</v>
      </c>
      <c r="G106" t="s">
        <v>35</v>
      </c>
      <c r="H106" t="s">
        <v>297</v>
      </c>
      <c r="I106" t="s">
        <v>131</v>
      </c>
      <c r="J106" t="s">
        <v>134</v>
      </c>
      <c r="M106">
        <v>9</v>
      </c>
      <c r="N106" t="s">
        <v>231</v>
      </c>
    </row>
    <row r="107" spans="5:14" x14ac:dyDescent="0.2">
      <c r="E107" t="s">
        <v>152</v>
      </c>
      <c r="G107" t="s">
        <v>35</v>
      </c>
      <c r="H107" t="s">
        <v>108</v>
      </c>
      <c r="I107" t="s">
        <v>131</v>
      </c>
      <c r="J107" t="s">
        <v>134</v>
      </c>
    </row>
    <row r="108" spans="5:14" x14ac:dyDescent="0.2">
      <c r="E108" t="s">
        <v>150</v>
      </c>
      <c r="G108" t="s">
        <v>35</v>
      </c>
      <c r="H108" t="s">
        <v>109</v>
      </c>
      <c r="I108" t="s">
        <v>131</v>
      </c>
      <c r="J108" t="s">
        <v>138</v>
      </c>
      <c r="L108" t="s">
        <v>232</v>
      </c>
      <c r="M108">
        <v>1</v>
      </c>
      <c r="N108" t="s">
        <v>233</v>
      </c>
    </row>
    <row r="109" spans="5:14" x14ac:dyDescent="0.2">
      <c r="E109" t="s">
        <v>301</v>
      </c>
      <c r="G109" t="s">
        <v>35</v>
      </c>
      <c r="H109" t="s">
        <v>110</v>
      </c>
      <c r="I109" t="s">
        <v>131</v>
      </c>
      <c r="J109" t="s">
        <v>143</v>
      </c>
    </row>
    <row r="110" spans="5:14" x14ac:dyDescent="0.2">
      <c r="G110" t="s">
        <v>35</v>
      </c>
      <c r="H110" t="s">
        <v>182</v>
      </c>
      <c r="I110" t="s">
        <v>131</v>
      </c>
      <c r="J110" t="s">
        <v>134</v>
      </c>
      <c r="L110" t="s">
        <v>234</v>
      </c>
      <c r="M110">
        <v>1</v>
      </c>
      <c r="N110" t="s">
        <v>120</v>
      </c>
    </row>
    <row r="111" spans="5:14" x14ac:dyDescent="0.2">
      <c r="G111" t="s">
        <v>35</v>
      </c>
      <c r="H111" t="s">
        <v>112</v>
      </c>
      <c r="I111" t="s">
        <v>131</v>
      </c>
      <c r="J111" t="s">
        <v>134</v>
      </c>
    </row>
    <row r="112" spans="5:14" x14ac:dyDescent="0.2">
      <c r="G112" t="s">
        <v>35</v>
      </c>
      <c r="H112" t="s">
        <v>113</v>
      </c>
      <c r="I112" t="s">
        <v>131</v>
      </c>
      <c r="J112" t="s">
        <v>134</v>
      </c>
      <c r="M112">
        <v>2</v>
      </c>
      <c r="N112" t="s">
        <v>65</v>
      </c>
    </row>
    <row r="113" spans="7:14" x14ac:dyDescent="0.2">
      <c r="G113" t="s">
        <v>35</v>
      </c>
      <c r="H113" t="s">
        <v>114</v>
      </c>
      <c r="I113" t="s">
        <v>131</v>
      </c>
      <c r="J113" t="s">
        <v>134</v>
      </c>
      <c r="M113">
        <v>3</v>
      </c>
      <c r="N113" t="s">
        <v>76</v>
      </c>
    </row>
    <row r="114" spans="7:14" x14ac:dyDescent="0.2">
      <c r="G114" t="s">
        <v>35</v>
      </c>
      <c r="H114" t="s">
        <v>115</v>
      </c>
      <c r="I114" t="s">
        <v>131</v>
      </c>
      <c r="J114" t="s">
        <v>138</v>
      </c>
      <c r="M114">
        <v>4</v>
      </c>
      <c r="N114" t="s">
        <v>74</v>
      </c>
    </row>
    <row r="115" spans="7:14" x14ac:dyDescent="0.2">
      <c r="G115" t="s">
        <v>35</v>
      </c>
      <c r="H115" t="s">
        <v>117</v>
      </c>
      <c r="I115" t="s">
        <v>131</v>
      </c>
      <c r="J115" t="s">
        <v>143</v>
      </c>
      <c r="M115">
        <v>5</v>
      </c>
      <c r="N115" t="s">
        <v>83</v>
      </c>
    </row>
    <row r="116" spans="7:14" x14ac:dyDescent="0.2">
      <c r="G116" t="s">
        <v>35</v>
      </c>
      <c r="H116" t="s">
        <v>118</v>
      </c>
      <c r="I116" t="s">
        <v>124</v>
      </c>
      <c r="J116" t="s">
        <v>148</v>
      </c>
      <c r="M116">
        <v>6</v>
      </c>
      <c r="N116" t="s">
        <v>235</v>
      </c>
    </row>
    <row r="117" spans="7:14" x14ac:dyDescent="0.2">
      <c r="G117" t="s">
        <v>35</v>
      </c>
      <c r="H117" t="s">
        <v>260</v>
      </c>
      <c r="I117" t="s">
        <v>131</v>
      </c>
      <c r="J117" s="52" t="s">
        <v>132</v>
      </c>
      <c r="M117">
        <v>7</v>
      </c>
      <c r="N117" t="s">
        <v>104</v>
      </c>
    </row>
    <row r="118" spans="7:14" x14ac:dyDescent="0.2">
      <c r="G118" t="s">
        <v>35</v>
      </c>
      <c r="H118" t="s">
        <v>210</v>
      </c>
      <c r="I118" t="s">
        <v>131</v>
      </c>
      <c r="J118" t="s">
        <v>138</v>
      </c>
    </row>
    <row r="119" spans="7:14" x14ac:dyDescent="0.2">
      <c r="L119" t="s">
        <v>236</v>
      </c>
      <c r="M119">
        <v>1</v>
      </c>
      <c r="N119" t="s">
        <v>237</v>
      </c>
    </row>
    <row r="120" spans="7:14" x14ac:dyDescent="0.2">
      <c r="M120">
        <v>2</v>
      </c>
      <c r="N120" t="s">
        <v>238</v>
      </c>
    </row>
    <row r="122" spans="7:14" x14ac:dyDescent="0.2">
      <c r="L122" t="s">
        <v>239</v>
      </c>
      <c r="M122">
        <v>1</v>
      </c>
      <c r="N122" t="s">
        <v>240</v>
      </c>
    </row>
    <row r="123" spans="7:14" x14ac:dyDescent="0.2">
      <c r="M123">
        <v>2</v>
      </c>
      <c r="N123" t="s">
        <v>126</v>
      </c>
    </row>
    <row r="124" spans="7:14" x14ac:dyDescent="0.2">
      <c r="M124">
        <v>2</v>
      </c>
      <c r="N124" t="s">
        <v>241</v>
      </c>
    </row>
    <row r="125" spans="7:14" x14ac:dyDescent="0.2">
      <c r="M125">
        <v>3</v>
      </c>
      <c r="N125" t="s">
        <v>242</v>
      </c>
    </row>
    <row r="126" spans="7:14" x14ac:dyDescent="0.2">
      <c r="M126">
        <v>4</v>
      </c>
      <c r="N126" t="s">
        <v>243</v>
      </c>
    </row>
    <row r="127" spans="7:14" x14ac:dyDescent="0.2">
      <c r="M127">
        <v>5</v>
      </c>
      <c r="N127" t="s">
        <v>57</v>
      </c>
    </row>
    <row r="128" spans="7:14" x14ac:dyDescent="0.2">
      <c r="M128">
        <v>6</v>
      </c>
      <c r="N128" t="s">
        <v>244</v>
      </c>
    </row>
    <row r="129" spans="12:14" x14ac:dyDescent="0.2">
      <c r="M129">
        <v>7</v>
      </c>
      <c r="N129" t="s">
        <v>245</v>
      </c>
    </row>
    <row r="130" spans="12:14" x14ac:dyDescent="0.2">
      <c r="M130">
        <v>8</v>
      </c>
      <c r="N130" t="s">
        <v>106</v>
      </c>
    </row>
    <row r="131" spans="12:14" x14ac:dyDescent="0.2">
      <c r="M131">
        <v>9</v>
      </c>
      <c r="N131" t="s">
        <v>116</v>
      </c>
    </row>
    <row r="132" spans="12:14" x14ac:dyDescent="0.2">
      <c r="M132">
        <v>10</v>
      </c>
      <c r="N132" t="s">
        <v>246</v>
      </c>
    </row>
    <row r="134" spans="12:14" x14ac:dyDescent="0.2">
      <c r="L134" t="s">
        <v>247</v>
      </c>
      <c r="M134">
        <v>1</v>
      </c>
      <c r="N134" t="s">
        <v>248</v>
      </c>
    </row>
    <row r="135" spans="12:14" x14ac:dyDescent="0.2">
      <c r="M135">
        <v>2</v>
      </c>
      <c r="N135" t="s">
        <v>56</v>
      </c>
    </row>
    <row r="136" spans="12:14" x14ac:dyDescent="0.2">
      <c r="M136">
        <v>3</v>
      </c>
      <c r="N136" t="s">
        <v>111</v>
      </c>
    </row>
    <row r="137" spans="12:14" x14ac:dyDescent="0.2">
      <c r="M137">
        <v>4</v>
      </c>
      <c r="N137" t="s">
        <v>79</v>
      </c>
    </row>
    <row r="139" spans="12:14" x14ac:dyDescent="0.2">
      <c r="L139" t="s">
        <v>249</v>
      </c>
      <c r="M139">
        <v>1</v>
      </c>
      <c r="N139" t="s">
        <v>139</v>
      </c>
    </row>
    <row r="140" spans="12:14" x14ac:dyDescent="0.2">
      <c r="M140">
        <v>1</v>
      </c>
      <c r="N140" t="s">
        <v>139</v>
      </c>
    </row>
    <row r="141" spans="12:14" x14ac:dyDescent="0.2">
      <c r="M141">
        <v>2</v>
      </c>
      <c r="N141" t="s">
        <v>250</v>
      </c>
    </row>
    <row r="143" spans="12:14" x14ac:dyDescent="0.2">
      <c r="L143" t="s">
        <v>251</v>
      </c>
      <c r="M143">
        <v>1</v>
      </c>
      <c r="N143" t="s">
        <v>252</v>
      </c>
    </row>
    <row r="144" spans="12:14" x14ac:dyDescent="0.2">
      <c r="M144">
        <v>2</v>
      </c>
      <c r="N144" t="s">
        <v>60</v>
      </c>
    </row>
    <row r="145" spans="12:14" x14ac:dyDescent="0.2">
      <c r="M145">
        <v>2</v>
      </c>
      <c r="N145" t="s">
        <v>253</v>
      </c>
    </row>
    <row r="146" spans="12:14" x14ac:dyDescent="0.2">
      <c r="M146">
        <v>3</v>
      </c>
      <c r="N146" t="s">
        <v>71</v>
      </c>
    </row>
    <row r="147" spans="12:14" x14ac:dyDescent="0.2">
      <c r="M147">
        <v>4</v>
      </c>
      <c r="N147" t="s">
        <v>254</v>
      </c>
    </row>
    <row r="149" spans="12:14" x14ac:dyDescent="0.2">
      <c r="L149" t="s">
        <v>255</v>
      </c>
      <c r="M149">
        <v>1</v>
      </c>
      <c r="N149" t="s">
        <v>105</v>
      </c>
    </row>
    <row r="151" spans="12:14" x14ac:dyDescent="0.2">
      <c r="M151">
        <v>2</v>
      </c>
      <c r="N151" t="s">
        <v>99</v>
      </c>
    </row>
    <row r="152" spans="12:14" x14ac:dyDescent="0.2">
      <c r="M152">
        <v>2</v>
      </c>
      <c r="N152" t="s">
        <v>256</v>
      </c>
    </row>
    <row r="153" spans="12:14" x14ac:dyDescent="0.2">
      <c r="M153">
        <v>3</v>
      </c>
      <c r="N153" t="s">
        <v>118</v>
      </c>
    </row>
    <row r="154" spans="12:14" x14ac:dyDescent="0.2">
      <c r="M154">
        <v>4</v>
      </c>
      <c r="N154" t="s">
        <v>107</v>
      </c>
    </row>
    <row r="155" spans="12:14" x14ac:dyDescent="0.2">
      <c r="M155">
        <v>5</v>
      </c>
      <c r="N155" t="s">
        <v>70</v>
      </c>
    </row>
    <row r="156" spans="12:14" x14ac:dyDescent="0.2">
      <c r="M156">
        <v>6</v>
      </c>
      <c r="N156" t="s">
        <v>59</v>
      </c>
    </row>
    <row r="157" spans="12:14" x14ac:dyDescent="0.2">
      <c r="M157">
        <v>7</v>
      </c>
      <c r="N157" t="s">
        <v>62</v>
      </c>
    </row>
    <row r="158" spans="12:14" x14ac:dyDescent="0.2">
      <c r="M158">
        <v>8</v>
      </c>
      <c r="N158" t="s">
        <v>84</v>
      </c>
    </row>
    <row r="160" spans="12:14" x14ac:dyDescent="0.2">
      <c r="L160" t="s">
        <v>257</v>
      </c>
      <c r="M160">
        <v>1</v>
      </c>
      <c r="N160" t="s">
        <v>258</v>
      </c>
    </row>
    <row r="161" spans="12:14" x14ac:dyDescent="0.2">
      <c r="M161">
        <v>2</v>
      </c>
      <c r="N161" t="s">
        <v>61</v>
      </c>
    </row>
    <row r="162" spans="12:14" x14ac:dyDescent="0.2">
      <c r="M162">
        <v>3</v>
      </c>
      <c r="N162" t="s">
        <v>78</v>
      </c>
    </row>
    <row r="163" spans="12:14" x14ac:dyDescent="0.2">
      <c r="M163">
        <v>4</v>
      </c>
      <c r="N163" t="s">
        <v>259</v>
      </c>
    </row>
    <row r="164" spans="12:14" x14ac:dyDescent="0.2">
      <c r="M164">
        <v>5</v>
      </c>
      <c r="N164" t="s">
        <v>260</v>
      </c>
    </row>
    <row r="166" spans="12:14" x14ac:dyDescent="0.2">
      <c r="L166" t="s">
        <v>261</v>
      </c>
      <c r="M166">
        <v>1</v>
      </c>
      <c r="N166" t="s">
        <v>262</v>
      </c>
    </row>
    <row r="167" spans="12:14" x14ac:dyDescent="0.2">
      <c r="M167">
        <v>2</v>
      </c>
      <c r="N167" t="s">
        <v>80</v>
      </c>
    </row>
    <row r="169" spans="12:14" x14ac:dyDescent="0.2">
      <c r="L169" t="s">
        <v>263</v>
      </c>
      <c r="M169">
        <v>1</v>
      </c>
      <c r="N169" t="s">
        <v>264</v>
      </c>
    </row>
    <row r="170" spans="12:14" x14ac:dyDescent="0.2">
      <c r="M170">
        <v>2</v>
      </c>
      <c r="N170" t="s">
        <v>87</v>
      </c>
    </row>
    <row r="171" spans="12:14" x14ac:dyDescent="0.2">
      <c r="M171">
        <v>3</v>
      </c>
      <c r="N171" t="s">
        <v>265</v>
      </c>
    </row>
    <row r="172" spans="12:14" x14ac:dyDescent="0.2">
      <c r="M172">
        <v>4</v>
      </c>
      <c r="N172" t="s">
        <v>266</v>
      </c>
    </row>
    <row r="173" spans="12:14" x14ac:dyDescent="0.2">
      <c r="M173">
        <v>5</v>
      </c>
      <c r="N173" t="s">
        <v>267</v>
      </c>
    </row>
    <row r="175" spans="12:14" x14ac:dyDescent="0.2">
      <c r="L175" t="s">
        <v>268</v>
      </c>
      <c r="M175">
        <v>1</v>
      </c>
      <c r="N175" t="s">
        <v>269</v>
      </c>
    </row>
    <row r="177" spans="12:14" x14ac:dyDescent="0.2">
      <c r="L177" t="s">
        <v>270</v>
      </c>
      <c r="M177">
        <v>1</v>
      </c>
      <c r="N177" t="s">
        <v>66</v>
      </c>
    </row>
    <row r="178" spans="12:14" x14ac:dyDescent="0.2">
      <c r="M178">
        <v>2</v>
      </c>
      <c r="N178" t="s">
        <v>271</v>
      </c>
    </row>
    <row r="179" spans="12:14" x14ac:dyDescent="0.2">
      <c r="M179">
        <v>3</v>
      </c>
      <c r="N179" t="s">
        <v>77</v>
      </c>
    </row>
    <row r="180" spans="12:14" x14ac:dyDescent="0.2">
      <c r="M180">
        <v>4</v>
      </c>
      <c r="N180" t="s">
        <v>272</v>
      </c>
    </row>
    <row r="182" spans="12:14" x14ac:dyDescent="0.2">
      <c r="L182" t="s">
        <v>273</v>
      </c>
      <c r="M182">
        <v>1</v>
      </c>
      <c r="N182" t="s">
        <v>274</v>
      </c>
    </row>
    <row r="184" spans="12:14" x14ac:dyDescent="0.2">
      <c r="L184" t="s">
        <v>275</v>
      </c>
      <c r="M184">
        <v>1</v>
      </c>
      <c r="N184" t="s">
        <v>145</v>
      </c>
    </row>
    <row r="185" spans="12:14" x14ac:dyDescent="0.2">
      <c r="M185">
        <v>2</v>
      </c>
      <c r="N185" t="s">
        <v>147</v>
      </c>
    </row>
    <row r="187" spans="12:14" x14ac:dyDescent="0.2">
      <c r="L187" t="s">
        <v>276</v>
      </c>
      <c r="M187">
        <v>1</v>
      </c>
      <c r="N187" t="s">
        <v>129</v>
      </c>
    </row>
    <row r="189" spans="12:14" x14ac:dyDescent="0.2">
      <c r="L189" t="s">
        <v>277</v>
      </c>
      <c r="M189">
        <v>1</v>
      </c>
      <c r="N189" t="s">
        <v>58</v>
      </c>
    </row>
    <row r="190" spans="12:14" x14ac:dyDescent="0.2">
      <c r="M190">
        <v>2</v>
      </c>
      <c r="N190" t="s">
        <v>278</v>
      </c>
    </row>
    <row r="191" spans="12:14" x14ac:dyDescent="0.2">
      <c r="M191">
        <v>3</v>
      </c>
      <c r="N191" t="s">
        <v>90</v>
      </c>
    </row>
    <row r="192" spans="12:14" x14ac:dyDescent="0.2">
      <c r="M192">
        <v>4</v>
      </c>
      <c r="N192" t="s">
        <v>279</v>
      </c>
    </row>
    <row r="193" spans="12:14" x14ac:dyDescent="0.2">
      <c r="M193">
        <v>5</v>
      </c>
      <c r="N193" t="s">
        <v>280</v>
      </c>
    </row>
    <row r="194" spans="12:14" x14ac:dyDescent="0.2">
      <c r="M194">
        <v>6</v>
      </c>
      <c r="N194" t="s">
        <v>281</v>
      </c>
    </row>
    <row r="195" spans="12:14" x14ac:dyDescent="0.2">
      <c r="M195">
        <v>7</v>
      </c>
      <c r="N195" t="s">
        <v>282</v>
      </c>
    </row>
    <row r="197" spans="12:14" x14ac:dyDescent="0.2">
      <c r="L197" t="s">
        <v>283</v>
      </c>
      <c r="M197">
        <v>1</v>
      </c>
      <c r="N197" t="s">
        <v>284</v>
      </c>
    </row>
    <row r="199" spans="12:14" x14ac:dyDescent="0.2">
      <c r="L199" t="s">
        <v>285</v>
      </c>
      <c r="M199">
        <v>1</v>
      </c>
      <c r="N199" t="s">
        <v>86</v>
      </c>
    </row>
    <row r="201" spans="12:14" x14ac:dyDescent="0.2">
      <c r="L201" t="s">
        <v>286</v>
      </c>
      <c r="M201">
        <v>1</v>
      </c>
      <c r="N201" t="s">
        <v>97</v>
      </c>
    </row>
  </sheetData>
  <sortState ref="G1:J118">
    <sortCondition ref="G1:G118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Preços 2018 - Região N, NE e CO</vt:lpstr>
      <vt:lpstr>Preços 2018 - Região S e SE</vt:lpstr>
      <vt:lpstr>Preços 2018 - Região ABC e GRU</vt:lpstr>
      <vt:lpstr>PLA</vt:lpstr>
      <vt:lpstr>Premissas Aprovadas</vt:lpstr>
      <vt:lpstr>Cálc. Reaj. 2018 - Mensal. 2017</vt:lpstr>
      <vt:lpstr>Plan3</vt:lpstr>
      <vt:lpstr>Regiões x Polos</vt:lpstr>
      <vt:lpstr>Plan1</vt:lpstr>
      <vt:lpstr>'Cálc. Reaj. 2018 - Mensal. 2017'!Area_de_impressao</vt:lpstr>
      <vt:lpstr>'Preços 2018 - Região ABC e GRU'!Area_de_impressao</vt:lpstr>
      <vt:lpstr>'Preços 2018 - Região N, NE e CO'!Area_de_impressao</vt:lpstr>
      <vt:lpstr>'Preços 2018 - Região S e SE'!Area_de_impressao</vt:lpstr>
    </vt:vector>
  </TitlesOfParts>
  <Company>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adriana.oliveira</dc:creator>
  <cp:lastModifiedBy>Zaiane</cp:lastModifiedBy>
  <cp:lastPrinted>2016-10-20T11:56:23Z</cp:lastPrinted>
  <dcterms:created xsi:type="dcterms:W3CDTF">2011-12-05T17:06:24Z</dcterms:created>
  <dcterms:modified xsi:type="dcterms:W3CDTF">2018-05-18T16:57:59Z</dcterms:modified>
</cp:coreProperties>
</file>